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8\Downloads\"/>
    </mc:Choice>
  </mc:AlternateContent>
  <xr:revisionPtr revIDLastSave="0" documentId="13_ncr:1_{4327D72F-352B-48FF-A86B-8FA9785396E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ouse Registry" sheetId="16" r:id="rId1"/>
    <sheet name="Group" sheetId="14" r:id="rId2"/>
    <sheet name="Score Sheets" sheetId="7" r:id="rId3"/>
    <sheet name="Cylinder Data" sheetId="5" r:id="rId4"/>
    <sheet name="All sections" sheetId="17" state="hidden" r:id="rId5"/>
    <sheet name="Histology" sheetId="20" r:id="rId6"/>
    <sheet name="Flow Cytometry" sheetId="18" r:id="rId7"/>
    <sheet name="ROI section " sheetId="1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9" i="5" l="1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2" i="5"/>
  <c r="I3" i="5"/>
  <c r="H94" i="5" l="1"/>
  <c r="I94" i="5" s="1"/>
  <c r="H93" i="5"/>
  <c r="I93" i="5" s="1"/>
  <c r="O3" i="16" l="1"/>
  <c r="O4" i="16"/>
  <c r="O6" i="16"/>
  <c r="O8" i="16"/>
  <c r="O10" i="16"/>
  <c r="O13" i="16"/>
  <c r="O15" i="16"/>
  <c r="O16" i="16"/>
  <c r="O17" i="16"/>
  <c r="O18" i="16"/>
  <c r="O19" i="16"/>
  <c r="O20" i="16"/>
  <c r="O21" i="16"/>
  <c r="O22" i="16"/>
  <c r="O23" i="16"/>
  <c r="O24" i="16"/>
  <c r="O28" i="16"/>
  <c r="O29" i="16"/>
  <c r="O30" i="16"/>
  <c r="O32" i="16"/>
  <c r="O33" i="16"/>
  <c r="O36" i="16"/>
  <c r="O38" i="16"/>
  <c r="O39" i="16"/>
  <c r="O40" i="16"/>
  <c r="O41" i="16"/>
  <c r="O44" i="16"/>
  <c r="O48" i="16"/>
  <c r="O50" i="16"/>
  <c r="O51" i="16"/>
  <c r="O53" i="16"/>
  <c r="O55" i="16"/>
  <c r="O56" i="16"/>
  <c r="O59" i="16"/>
  <c r="O61" i="16"/>
  <c r="O62" i="16"/>
  <c r="O63" i="16"/>
  <c r="O64" i="16"/>
  <c r="AW64" i="18" l="1"/>
  <c r="AR64" i="18"/>
  <c r="AM64" i="18"/>
  <c r="AH64" i="18"/>
  <c r="AI64" i="18" s="1"/>
  <c r="AK64" i="18" s="1"/>
  <c r="AC64" i="18"/>
  <c r="V64" i="18"/>
  <c r="O64" i="18"/>
  <c r="H64" i="18"/>
  <c r="AW39" i="18"/>
  <c r="AX39" i="18" s="1"/>
  <c r="AZ39" i="18" s="1"/>
  <c r="AR39" i="18"/>
  <c r="AM39" i="18"/>
  <c r="AO39" i="18" s="1"/>
  <c r="AH39" i="18"/>
  <c r="AC39" i="18"/>
  <c r="V39" i="18"/>
  <c r="O39" i="18"/>
  <c r="H39" i="18"/>
  <c r="AW38" i="18"/>
  <c r="AR38" i="18"/>
  <c r="AT38" i="18" s="1"/>
  <c r="AM38" i="18"/>
  <c r="AH38" i="18"/>
  <c r="AJ38" i="18" s="1"/>
  <c r="AC38" i="18"/>
  <c r="V38" i="18"/>
  <c r="O38" i="18"/>
  <c r="H38" i="18"/>
  <c r="AW23" i="18"/>
  <c r="AY23" i="18" s="1"/>
  <c r="AR23" i="18"/>
  <c r="AM23" i="18"/>
  <c r="AO23" i="18" s="1"/>
  <c r="AH23" i="18"/>
  <c r="AC23" i="18"/>
  <c r="V23" i="18"/>
  <c r="O23" i="18"/>
  <c r="H23" i="18"/>
  <c r="AW17" i="18"/>
  <c r="AR17" i="18"/>
  <c r="AM17" i="18"/>
  <c r="AH17" i="18"/>
  <c r="AI17" i="18" s="1"/>
  <c r="AK17" i="18" s="1"/>
  <c r="AC17" i="18"/>
  <c r="V17" i="18"/>
  <c r="O17" i="18"/>
  <c r="H17" i="18"/>
  <c r="AW51" i="18"/>
  <c r="AX51" i="18" s="1"/>
  <c r="AZ51" i="18" s="1"/>
  <c r="AR51" i="18"/>
  <c r="AM51" i="18"/>
  <c r="AO51" i="18" s="1"/>
  <c r="AH51" i="18"/>
  <c r="AC51" i="18"/>
  <c r="V51" i="18"/>
  <c r="O51" i="18"/>
  <c r="H51" i="18"/>
  <c r="AW50" i="18"/>
  <c r="AR50" i="18"/>
  <c r="AS50" i="18" s="1"/>
  <c r="AU50" i="18" s="1"/>
  <c r="AM50" i="18"/>
  <c r="AH50" i="18"/>
  <c r="AJ50" i="18" s="1"/>
  <c r="AC50" i="18"/>
  <c r="V50" i="18"/>
  <c r="O50" i="18"/>
  <c r="H50" i="18"/>
  <c r="AW48" i="18"/>
  <c r="AY48" i="18" s="1"/>
  <c r="AR48" i="18"/>
  <c r="AM48" i="18"/>
  <c r="AO48" i="18" s="1"/>
  <c r="AH48" i="18"/>
  <c r="AC48" i="18"/>
  <c r="V48" i="18"/>
  <c r="O48" i="18"/>
  <c r="H48" i="18"/>
  <c r="AW67" i="18"/>
  <c r="AR67" i="18"/>
  <c r="AM67" i="18"/>
  <c r="AH67" i="18"/>
  <c r="AI67" i="18" s="1"/>
  <c r="AK67" i="18" s="1"/>
  <c r="AC67" i="18"/>
  <c r="V67" i="18"/>
  <c r="O67" i="18"/>
  <c r="H67" i="18"/>
  <c r="AW44" i="18"/>
  <c r="AX44" i="18" s="1"/>
  <c r="AZ44" i="18" s="1"/>
  <c r="AR44" i="18"/>
  <c r="AM44" i="18"/>
  <c r="AO44" i="18" s="1"/>
  <c r="AH44" i="18"/>
  <c r="AC44" i="18"/>
  <c r="V44" i="18"/>
  <c r="O44" i="18"/>
  <c r="H44" i="18"/>
  <c r="AW41" i="18"/>
  <c r="AR41" i="18"/>
  <c r="AT41" i="18" s="1"/>
  <c r="AM41" i="18"/>
  <c r="AH41" i="18"/>
  <c r="AJ41" i="18" s="1"/>
  <c r="AC41" i="18"/>
  <c r="V41" i="18"/>
  <c r="O41" i="18"/>
  <c r="H41" i="18"/>
  <c r="AW40" i="18"/>
  <c r="AY40" i="18" s="1"/>
  <c r="AR40" i="18"/>
  <c r="AM40" i="18"/>
  <c r="AO40" i="18" s="1"/>
  <c r="AH40" i="18"/>
  <c r="AC40" i="18"/>
  <c r="V40" i="18"/>
  <c r="O40" i="18"/>
  <c r="H40" i="18"/>
  <c r="AW63" i="18"/>
  <c r="AR63" i="18"/>
  <c r="AM63" i="18"/>
  <c r="AH63" i="18"/>
  <c r="AI63" i="18" s="1"/>
  <c r="AK63" i="18" s="1"/>
  <c r="AC63" i="18"/>
  <c r="V63" i="18"/>
  <c r="O63" i="18"/>
  <c r="H63" i="18"/>
  <c r="AW62" i="18"/>
  <c r="AX62" i="18" s="1"/>
  <c r="AZ62" i="18" s="1"/>
  <c r="AR62" i="18"/>
  <c r="AM62" i="18"/>
  <c r="AO62" i="18" s="1"/>
  <c r="AH62" i="18"/>
  <c r="AC62" i="18"/>
  <c r="V62" i="18"/>
  <c r="O62" i="18"/>
  <c r="H62" i="18"/>
  <c r="AW61" i="18"/>
  <c r="AR61" i="18"/>
  <c r="AT61" i="18" s="1"/>
  <c r="AM61" i="18"/>
  <c r="AH61" i="18"/>
  <c r="AJ61" i="18" s="1"/>
  <c r="AC61" i="18"/>
  <c r="V61" i="18"/>
  <c r="O61" i="18"/>
  <c r="H61" i="18"/>
  <c r="AW66" i="18"/>
  <c r="AY66" i="18" s="1"/>
  <c r="AR66" i="18"/>
  <c r="AM66" i="18"/>
  <c r="AO66" i="18" s="1"/>
  <c r="AH66" i="18"/>
  <c r="AC66" i="18"/>
  <c r="V66" i="18"/>
  <c r="O66" i="18"/>
  <c r="H66" i="18"/>
  <c r="AW52" i="18"/>
  <c r="AR52" i="18"/>
  <c r="AM52" i="18"/>
  <c r="AH52" i="18"/>
  <c r="AI52" i="18" s="1"/>
  <c r="AK52" i="18" s="1"/>
  <c r="AC52" i="18"/>
  <c r="V52" i="18"/>
  <c r="O52" i="18"/>
  <c r="H52" i="18"/>
  <c r="AW15" i="18"/>
  <c r="AX15" i="18" s="1"/>
  <c r="AZ15" i="18" s="1"/>
  <c r="AR15" i="18"/>
  <c r="AM15" i="18"/>
  <c r="AO15" i="18" s="1"/>
  <c r="AH15" i="18"/>
  <c r="AC15" i="18"/>
  <c r="V15" i="18"/>
  <c r="O15" i="18"/>
  <c r="H15" i="18"/>
  <c r="AW59" i="18"/>
  <c r="AR59" i="18"/>
  <c r="AT59" i="18" s="1"/>
  <c r="AM59" i="18"/>
  <c r="AH59" i="18"/>
  <c r="AJ59" i="18" s="1"/>
  <c r="AC59" i="18"/>
  <c r="V59" i="18"/>
  <c r="O59" i="18"/>
  <c r="H59" i="18"/>
  <c r="AW56" i="18"/>
  <c r="AY56" i="18" s="1"/>
  <c r="AR56" i="18"/>
  <c r="AM56" i="18"/>
  <c r="AO56" i="18" s="1"/>
  <c r="AH56" i="18"/>
  <c r="AC56" i="18"/>
  <c r="V56" i="18"/>
  <c r="O56" i="18"/>
  <c r="H56" i="18"/>
  <c r="AW55" i="18"/>
  <c r="AR55" i="18"/>
  <c r="AM55" i="18"/>
  <c r="AH55" i="18"/>
  <c r="AI55" i="18" s="1"/>
  <c r="AK55" i="18" s="1"/>
  <c r="AC55" i="18"/>
  <c r="V55" i="18"/>
  <c r="O55" i="18"/>
  <c r="H55" i="18"/>
  <c r="AW65" i="18"/>
  <c r="AX65" i="18" s="1"/>
  <c r="AZ65" i="18" s="1"/>
  <c r="AR65" i="18"/>
  <c r="AM65" i="18"/>
  <c r="AN65" i="18" s="1"/>
  <c r="AP65" i="18" s="1"/>
  <c r="AH65" i="18"/>
  <c r="AC65" i="18"/>
  <c r="V65" i="18"/>
  <c r="O65" i="18"/>
  <c r="H65" i="18"/>
  <c r="AW37" i="18"/>
  <c r="AR37" i="18"/>
  <c r="AT37" i="18" s="1"/>
  <c r="AM37" i="18"/>
  <c r="AH37" i="18"/>
  <c r="AJ37" i="18" s="1"/>
  <c r="AC37" i="18"/>
  <c r="V37" i="18"/>
  <c r="O37" i="18"/>
  <c r="H37" i="18"/>
  <c r="AW13" i="18"/>
  <c r="AY13" i="18" s="1"/>
  <c r="AR13" i="18"/>
  <c r="AM13" i="18"/>
  <c r="AO13" i="18" s="1"/>
  <c r="AH13" i="18"/>
  <c r="AC13" i="18"/>
  <c r="V13" i="18"/>
  <c r="O13" i="18"/>
  <c r="H13" i="18"/>
  <c r="AW53" i="18"/>
  <c r="AR53" i="18"/>
  <c r="AM53" i="18"/>
  <c r="AH53" i="18"/>
  <c r="AI53" i="18" s="1"/>
  <c r="AK53" i="18" s="1"/>
  <c r="AC53" i="18"/>
  <c r="V53" i="18"/>
  <c r="O53" i="18"/>
  <c r="H53" i="18"/>
  <c r="AW22" i="18"/>
  <c r="AX22" i="18" s="1"/>
  <c r="AZ22" i="18" s="1"/>
  <c r="AR22" i="18"/>
  <c r="AM22" i="18"/>
  <c r="AO22" i="18" s="1"/>
  <c r="AH22" i="18"/>
  <c r="AC22" i="18"/>
  <c r="V22" i="18"/>
  <c r="O22" i="18"/>
  <c r="H22" i="18"/>
  <c r="AW21" i="18"/>
  <c r="AR21" i="18"/>
  <c r="AT21" i="18" s="1"/>
  <c r="AM21" i="18"/>
  <c r="AH21" i="18"/>
  <c r="AJ21" i="18" s="1"/>
  <c r="AC21" i="18"/>
  <c r="V21" i="18"/>
  <c r="O21" i="18"/>
  <c r="H21" i="18"/>
  <c r="AW12" i="18"/>
  <c r="AY12" i="18" s="1"/>
  <c r="AR12" i="18"/>
  <c r="AM12" i="18"/>
  <c r="AO12" i="18" s="1"/>
  <c r="AH12" i="18"/>
  <c r="AC12" i="18"/>
  <c r="V12" i="18"/>
  <c r="O12" i="18"/>
  <c r="H12" i="18"/>
  <c r="AW11" i="18"/>
  <c r="AR11" i="18"/>
  <c r="AM11" i="18"/>
  <c r="AH11" i="18"/>
  <c r="AI11" i="18" s="1"/>
  <c r="AK11" i="18" s="1"/>
  <c r="AC11" i="18"/>
  <c r="V11" i="18"/>
  <c r="O11" i="18"/>
  <c r="H11" i="18"/>
  <c r="AW49" i="18"/>
  <c r="AX49" i="18" s="1"/>
  <c r="AZ49" i="18" s="1"/>
  <c r="AR49" i="18"/>
  <c r="AM49" i="18"/>
  <c r="AN49" i="18" s="1"/>
  <c r="AP49" i="18" s="1"/>
  <c r="AH49" i="18"/>
  <c r="AC49" i="18"/>
  <c r="V49" i="18"/>
  <c r="O49" i="18"/>
  <c r="H49" i="18"/>
  <c r="AW60" i="18"/>
  <c r="AR60" i="18"/>
  <c r="AS60" i="18" s="1"/>
  <c r="AU60" i="18" s="1"/>
  <c r="AM60" i="18"/>
  <c r="AH60" i="18"/>
  <c r="AJ60" i="18" s="1"/>
  <c r="AC60" i="18"/>
  <c r="V60" i="18"/>
  <c r="O60" i="18"/>
  <c r="H60" i="18"/>
  <c r="AW20" i="18"/>
  <c r="AY20" i="18" s="1"/>
  <c r="AR20" i="18"/>
  <c r="AM20" i="18"/>
  <c r="AO20" i="18" s="1"/>
  <c r="AH20" i="18"/>
  <c r="AC20" i="18"/>
  <c r="V20" i="18"/>
  <c r="O20" i="18"/>
  <c r="H20" i="18"/>
  <c r="AW47" i="18"/>
  <c r="AR47" i="18"/>
  <c r="AM47" i="18"/>
  <c r="AH47" i="18"/>
  <c r="AI47" i="18" s="1"/>
  <c r="AK47" i="18" s="1"/>
  <c r="AC47" i="18"/>
  <c r="V47" i="18"/>
  <c r="O47" i="18"/>
  <c r="H47" i="18"/>
  <c r="AW46" i="18"/>
  <c r="AX46" i="18" s="1"/>
  <c r="AZ46" i="18" s="1"/>
  <c r="AR46" i="18"/>
  <c r="AM46" i="18"/>
  <c r="AN46" i="18" s="1"/>
  <c r="AP46" i="18" s="1"/>
  <c r="AH46" i="18"/>
  <c r="AC46" i="18"/>
  <c r="V46" i="18"/>
  <c r="O46" i="18"/>
  <c r="H46" i="18"/>
  <c r="AW16" i="18"/>
  <c r="AR16" i="18"/>
  <c r="AS16" i="18" s="1"/>
  <c r="AU16" i="18" s="1"/>
  <c r="AM16" i="18"/>
  <c r="AH16" i="18"/>
  <c r="AI16" i="18" s="1"/>
  <c r="AK16" i="18" s="1"/>
  <c r="AC16" i="18"/>
  <c r="V16" i="18"/>
  <c r="O16" i="18"/>
  <c r="H16" i="18"/>
  <c r="AC35" i="18"/>
  <c r="V35" i="18"/>
  <c r="O35" i="18"/>
  <c r="H35" i="18"/>
  <c r="AW34" i="18"/>
  <c r="AR34" i="18"/>
  <c r="AT34" i="18" s="1"/>
  <c r="AM34" i="18"/>
  <c r="AH34" i="18"/>
  <c r="AJ34" i="18" s="1"/>
  <c r="AC34" i="18"/>
  <c r="V34" i="18"/>
  <c r="O34" i="18"/>
  <c r="H34" i="18"/>
  <c r="AW31" i="18"/>
  <c r="AX31" i="18" s="1"/>
  <c r="AZ31" i="18" s="1"/>
  <c r="AR31" i="18"/>
  <c r="AM31" i="18"/>
  <c r="AO31" i="18" s="1"/>
  <c r="AH31" i="18"/>
  <c r="AC31" i="18"/>
  <c r="V31" i="18"/>
  <c r="O31" i="18"/>
  <c r="H31" i="18"/>
  <c r="AW36" i="18"/>
  <c r="AR36" i="18"/>
  <c r="AT36" i="18" s="1"/>
  <c r="AM36" i="18"/>
  <c r="AH36" i="18"/>
  <c r="AC36" i="18"/>
  <c r="V36" i="18"/>
  <c r="O36" i="18"/>
  <c r="H36" i="18"/>
  <c r="AW19" i="18"/>
  <c r="AR19" i="18"/>
  <c r="AM19" i="18"/>
  <c r="AO19" i="18" s="1"/>
  <c r="AH19" i="18"/>
  <c r="AC19" i="18"/>
  <c r="V19" i="18"/>
  <c r="O19" i="18"/>
  <c r="H19" i="18"/>
  <c r="AW18" i="18"/>
  <c r="AR18" i="18"/>
  <c r="AT18" i="18" s="1"/>
  <c r="AM18" i="18"/>
  <c r="AH18" i="18"/>
  <c r="AI18" i="18" s="1"/>
  <c r="AK18" i="18" s="1"/>
  <c r="AC18" i="18"/>
  <c r="V18" i="18"/>
  <c r="O18" i="18"/>
  <c r="H18" i="18"/>
  <c r="AW27" i="18"/>
  <c r="AX27" i="18" s="1"/>
  <c r="AZ27" i="18" s="1"/>
  <c r="AR27" i="18"/>
  <c r="AL27" i="18"/>
  <c r="AM27" i="18" s="1"/>
  <c r="AO27" i="18" s="1"/>
  <c r="AG27" i="18"/>
  <c r="AH27" i="18" s="1"/>
  <c r="AJ27" i="18" s="1"/>
  <c r="AC27" i="18"/>
  <c r="V27" i="18"/>
  <c r="O27" i="18"/>
  <c r="H27" i="18"/>
  <c r="AW26" i="18"/>
  <c r="AY26" i="18" s="1"/>
  <c r="AR26" i="18"/>
  <c r="AS26" i="18" s="1"/>
  <c r="AU26" i="18" s="1"/>
  <c r="AM26" i="18"/>
  <c r="AO26" i="18" s="1"/>
  <c r="AG26" i="18"/>
  <c r="AH26" i="18" s="1"/>
  <c r="AC26" i="18"/>
  <c r="V26" i="18"/>
  <c r="O26" i="18"/>
  <c r="H26" i="18"/>
  <c r="AV9" i="18"/>
  <c r="AW9" i="18" s="1"/>
  <c r="AQ9" i="18"/>
  <c r="AR9" i="18" s="1"/>
  <c r="AT9" i="18" s="1"/>
  <c r="AL9" i="18"/>
  <c r="AM9" i="18" s="1"/>
  <c r="AG9" i="18"/>
  <c r="AH9" i="18" s="1"/>
  <c r="AI9" i="18" s="1"/>
  <c r="AK9" i="18" s="1"/>
  <c r="AC9" i="18"/>
  <c r="V9" i="18"/>
  <c r="O9" i="18"/>
  <c r="H9" i="18"/>
  <c r="AW14" i="18"/>
  <c r="AY14" i="18" s="1"/>
  <c r="AQ14" i="18"/>
  <c r="AR14" i="18" s="1"/>
  <c r="AL14" i="18"/>
  <c r="AM14" i="18" s="1"/>
  <c r="AN14" i="18" s="1"/>
  <c r="AP14" i="18" s="1"/>
  <c r="AG14" i="18"/>
  <c r="AH14" i="18" s="1"/>
  <c r="AC14" i="18"/>
  <c r="V14" i="18"/>
  <c r="O14" i="18"/>
  <c r="H14" i="18"/>
  <c r="AV10" i="18"/>
  <c r="AW10" i="18" s="1"/>
  <c r="AY10" i="18" s="1"/>
  <c r="AR10" i="18"/>
  <c r="AT10" i="18" s="1"/>
  <c r="AM10" i="18"/>
  <c r="AO10" i="18" s="1"/>
  <c r="AG10" i="18"/>
  <c r="AH10" i="18" s="1"/>
  <c r="AJ10" i="18" s="1"/>
  <c r="AC10" i="18"/>
  <c r="V10" i="18"/>
  <c r="O10" i="18"/>
  <c r="H10" i="18"/>
  <c r="AV58" i="18"/>
  <c r="AW58" i="18" s="1"/>
  <c r="AX58" i="18" s="1"/>
  <c r="AZ58" i="18" s="1"/>
  <c r="AR58" i="18"/>
  <c r="AT58" i="18" s="1"/>
  <c r="AL58" i="18"/>
  <c r="AM58" i="18" s="1"/>
  <c r="AG58" i="18"/>
  <c r="AH58" i="18" s="1"/>
  <c r="AC58" i="18"/>
  <c r="V58" i="18"/>
  <c r="O58" i="18"/>
  <c r="H58" i="18"/>
  <c r="AV57" i="18"/>
  <c r="AW57" i="18" s="1"/>
  <c r="AY57" i="18" s="1"/>
  <c r="AQ57" i="18"/>
  <c r="AR57" i="18" s="1"/>
  <c r="AS57" i="18" s="1"/>
  <c r="AU57" i="18" s="1"/>
  <c r="AL57" i="18"/>
  <c r="AM57" i="18" s="1"/>
  <c r="AN57" i="18" s="1"/>
  <c r="AP57" i="18" s="1"/>
  <c r="AH57" i="18"/>
  <c r="AC57" i="18"/>
  <c r="V57" i="18"/>
  <c r="O57" i="18"/>
  <c r="H57" i="18"/>
  <c r="AW45" i="18"/>
  <c r="AR45" i="18"/>
  <c r="AT45" i="18" s="1"/>
  <c r="AL45" i="18"/>
  <c r="AM45" i="18" s="1"/>
  <c r="AG45" i="18"/>
  <c r="AH45" i="18" s="1"/>
  <c r="AC45" i="18"/>
  <c r="V45" i="18"/>
  <c r="O45" i="18"/>
  <c r="H45" i="18"/>
  <c r="AV8" i="18"/>
  <c r="AW8" i="18" s="1"/>
  <c r="AX8" i="18" s="1"/>
  <c r="AZ8" i="18" s="1"/>
  <c r="AR8" i="18"/>
  <c r="AS8" i="18" s="1"/>
  <c r="AU8" i="18" s="1"/>
  <c r="AL8" i="18"/>
  <c r="AM8" i="18" s="1"/>
  <c r="AG8" i="18"/>
  <c r="AH8" i="18" s="1"/>
  <c r="AJ8" i="18" s="1"/>
  <c r="AC8" i="18"/>
  <c r="V8" i="18"/>
  <c r="O8" i="18"/>
  <c r="H8" i="18"/>
  <c r="AW6" i="18"/>
  <c r="AY6" i="18" s="1"/>
  <c r="AR6" i="18"/>
  <c r="AT6" i="18" s="1"/>
  <c r="AM6" i="18"/>
  <c r="AO6" i="18" s="1"/>
  <c r="AG6" i="18"/>
  <c r="AH6" i="18" s="1"/>
  <c r="AC6" i="18"/>
  <c r="V6" i="18"/>
  <c r="O6" i="18"/>
  <c r="H6" i="18"/>
  <c r="AW5" i="18"/>
  <c r="AY5" i="18" s="1"/>
  <c r="AQ5" i="18"/>
  <c r="AR5" i="18" s="1"/>
  <c r="AS5" i="18" s="1"/>
  <c r="AU5" i="18" s="1"/>
  <c r="AM5" i="18"/>
  <c r="AO5" i="18" s="1"/>
  <c r="AG5" i="18"/>
  <c r="AH5" i="18" s="1"/>
  <c r="AC5" i="18"/>
  <c r="V5" i="18"/>
  <c r="O5" i="18"/>
  <c r="H5" i="18"/>
  <c r="AW54" i="18"/>
  <c r="AR54" i="18"/>
  <c r="AS54" i="18" s="1"/>
  <c r="AU54" i="18" s="1"/>
  <c r="AM54" i="18"/>
  <c r="AH54" i="18"/>
  <c r="AJ54" i="18" s="1"/>
  <c r="AC54" i="18"/>
  <c r="V54" i="18"/>
  <c r="O54" i="18"/>
  <c r="H54" i="18"/>
  <c r="AW25" i="18"/>
  <c r="AY25" i="18" s="1"/>
  <c r="AR25" i="18"/>
  <c r="AM25" i="18"/>
  <c r="AN25" i="18" s="1"/>
  <c r="AP25" i="18" s="1"/>
  <c r="AH25" i="18"/>
  <c r="AC25" i="18"/>
  <c r="V25" i="18"/>
  <c r="O25" i="18"/>
  <c r="H25" i="18"/>
  <c r="AW33" i="18"/>
  <c r="AR33" i="18"/>
  <c r="AT33" i="18" s="1"/>
  <c r="AM33" i="18"/>
  <c r="AH33" i="18"/>
  <c r="AJ33" i="18" s="1"/>
  <c r="AC33" i="18"/>
  <c r="V33" i="18"/>
  <c r="O33" i="18"/>
  <c r="H33" i="18"/>
  <c r="AW32" i="18"/>
  <c r="AX32" i="18" s="1"/>
  <c r="AZ32" i="18" s="1"/>
  <c r="AR32" i="18"/>
  <c r="AM32" i="18"/>
  <c r="AO32" i="18" s="1"/>
  <c r="AH32" i="18"/>
  <c r="AC32" i="18"/>
  <c r="V32" i="18"/>
  <c r="O32" i="18"/>
  <c r="H32" i="18"/>
  <c r="AW30" i="18"/>
  <c r="AR30" i="18"/>
  <c r="AT30" i="18" s="1"/>
  <c r="AM30" i="18"/>
  <c r="AH30" i="18"/>
  <c r="AJ30" i="18" s="1"/>
  <c r="AC30" i="18"/>
  <c r="V30" i="18"/>
  <c r="O30" i="18"/>
  <c r="H30" i="18"/>
  <c r="AW7" i="18"/>
  <c r="AY7" i="18" s="1"/>
  <c r="AR7" i="18"/>
  <c r="AM7" i="18"/>
  <c r="AN7" i="18" s="1"/>
  <c r="AP7" i="18" s="1"/>
  <c r="AH7" i="18"/>
  <c r="AC7" i="18"/>
  <c r="V7" i="18"/>
  <c r="O7" i="18"/>
  <c r="H7" i="18"/>
  <c r="AW29" i="18"/>
  <c r="AR29" i="18"/>
  <c r="AS29" i="18" s="1"/>
  <c r="AU29" i="18" s="1"/>
  <c r="AM29" i="18"/>
  <c r="AH29" i="18"/>
  <c r="AI29" i="18" s="1"/>
  <c r="AK29" i="18" s="1"/>
  <c r="AC29" i="18"/>
  <c r="V29" i="18"/>
  <c r="O29" i="18"/>
  <c r="H29" i="18"/>
  <c r="AW28" i="18"/>
  <c r="AY28" i="18" s="1"/>
  <c r="AR28" i="18"/>
  <c r="AM28" i="18"/>
  <c r="AO28" i="18" s="1"/>
  <c r="AH28" i="18"/>
  <c r="AC28" i="18"/>
  <c r="V28" i="18"/>
  <c r="O28" i="18"/>
  <c r="H28" i="18"/>
  <c r="AW24" i="18"/>
  <c r="AR24" i="18"/>
  <c r="AS24" i="18" s="1"/>
  <c r="AU24" i="18" s="1"/>
  <c r="AM24" i="18"/>
  <c r="AH24" i="18"/>
  <c r="AJ24" i="18" s="1"/>
  <c r="AC24" i="18"/>
  <c r="V24" i="18"/>
  <c r="O24" i="18"/>
  <c r="H24" i="18"/>
  <c r="AW43" i="18"/>
  <c r="AY43" i="18" s="1"/>
  <c r="AR43" i="18"/>
  <c r="AM43" i="18"/>
  <c r="AO43" i="18" s="1"/>
  <c r="AH43" i="18"/>
  <c r="AC43" i="18"/>
  <c r="V43" i="18"/>
  <c r="O43" i="18"/>
  <c r="H43" i="18"/>
  <c r="AW42" i="18"/>
  <c r="AR42" i="18"/>
  <c r="AT42" i="18" s="1"/>
  <c r="AM42" i="18"/>
  <c r="AH42" i="18"/>
  <c r="AJ42" i="18" s="1"/>
  <c r="AC42" i="18"/>
  <c r="V42" i="18"/>
  <c r="O42" i="18"/>
  <c r="H42" i="18"/>
  <c r="AR4" i="18"/>
  <c r="AS4" i="18" s="1"/>
  <c r="AU4" i="18" s="1"/>
  <c r="AM4" i="18"/>
  <c r="AH4" i="18"/>
  <c r="AJ4" i="18" s="1"/>
  <c r="V4" i="18"/>
  <c r="O4" i="18"/>
  <c r="H4" i="18"/>
  <c r="AX6" i="18" l="1"/>
  <c r="AZ6" i="18" s="1"/>
  <c r="AN15" i="18"/>
  <c r="AP15" i="18" s="1"/>
  <c r="AO14" i="18"/>
  <c r="AT29" i="18"/>
  <c r="AS21" i="18"/>
  <c r="AU21" i="18" s="1"/>
  <c r="AT26" i="18"/>
  <c r="AS38" i="18"/>
  <c r="AU38" i="18" s="1"/>
  <c r="AY62" i="18"/>
  <c r="AS37" i="18"/>
  <c r="AU37" i="18" s="1"/>
  <c r="AY46" i="18"/>
  <c r="AJ45" i="18"/>
  <c r="AI45" i="18"/>
  <c r="AK45" i="18" s="1"/>
  <c r="AS33" i="18"/>
  <c r="AU33" i="18" s="1"/>
  <c r="AN19" i="18"/>
  <c r="AP19" i="18" s="1"/>
  <c r="AY8" i="18"/>
  <c r="AN10" i="18"/>
  <c r="AP10" i="18" s="1"/>
  <c r="AX14" i="18"/>
  <c r="AZ14" i="18" s="1"/>
  <c r="AT16" i="18"/>
  <c r="AT60" i="18"/>
  <c r="AY65" i="18"/>
  <c r="AY15" i="18"/>
  <c r="AJ17" i="18"/>
  <c r="AJ64" i="18"/>
  <c r="AN26" i="18"/>
  <c r="AP26" i="18" s="1"/>
  <c r="AO46" i="18"/>
  <c r="AY49" i="18"/>
  <c r="AI37" i="18"/>
  <c r="AK37" i="18" s="1"/>
  <c r="AS61" i="18"/>
  <c r="AU61" i="18" s="1"/>
  <c r="AN44" i="18"/>
  <c r="AP44" i="18" s="1"/>
  <c r="AY51" i="18"/>
  <c r="AY44" i="18"/>
  <c r="AJ52" i="18"/>
  <c r="AN39" i="18"/>
  <c r="AP39" i="18" s="1"/>
  <c r="AS42" i="18"/>
  <c r="AU42" i="18" s="1"/>
  <c r="AN6" i="18"/>
  <c r="AP6" i="18" s="1"/>
  <c r="AT50" i="18"/>
  <c r="AN31" i="18"/>
  <c r="AP31" i="18" s="1"/>
  <c r="AJ11" i="18"/>
  <c r="AS10" i="18"/>
  <c r="AU10" i="18" s="1"/>
  <c r="AJ47" i="18"/>
  <c r="AY22" i="18"/>
  <c r="AS59" i="18"/>
  <c r="AU59" i="18" s="1"/>
  <c r="AY39" i="18"/>
  <c r="AN22" i="18"/>
  <c r="AP22" i="18" s="1"/>
  <c r="AJ55" i="18"/>
  <c r="AS41" i="18"/>
  <c r="AU41" i="18" s="1"/>
  <c r="AJ53" i="18"/>
  <c r="AI60" i="18"/>
  <c r="AK60" i="18" s="1"/>
  <c r="AJ63" i="18"/>
  <c r="AJ67" i="18"/>
  <c r="AJ6" i="18"/>
  <c r="AI6" i="18"/>
  <c r="AK6" i="18" s="1"/>
  <c r="AO45" i="18"/>
  <c r="AN45" i="18"/>
  <c r="AP45" i="18" s="1"/>
  <c r="AT14" i="18"/>
  <c r="AS14" i="18"/>
  <c r="AU14" i="18" s="1"/>
  <c r="AO9" i="18"/>
  <c r="AN9" i="18"/>
  <c r="AP9" i="18" s="1"/>
  <c r="AI14" i="18"/>
  <c r="AK14" i="18" s="1"/>
  <c r="AJ14" i="18"/>
  <c r="AN58" i="18"/>
  <c r="AP58" i="18" s="1"/>
  <c r="AO58" i="18"/>
  <c r="AO4" i="18"/>
  <c r="AN4" i="18"/>
  <c r="AP4" i="18" s="1"/>
  <c r="AY34" i="18"/>
  <c r="AX34" i="18"/>
  <c r="AZ34" i="18" s="1"/>
  <c r="AY45" i="18"/>
  <c r="AX45" i="18"/>
  <c r="AZ45" i="18" s="1"/>
  <c r="AI10" i="18"/>
  <c r="AK10" i="18" s="1"/>
  <c r="AO11" i="18"/>
  <c r="AN11" i="18"/>
  <c r="AP11" i="18" s="1"/>
  <c r="AO63" i="18"/>
  <c r="AN63" i="18"/>
  <c r="AP63" i="18" s="1"/>
  <c r="AI42" i="18"/>
  <c r="AK42" i="18" s="1"/>
  <c r="AO7" i="18"/>
  <c r="AY33" i="18"/>
  <c r="AX33" i="18"/>
  <c r="AZ33" i="18" s="1"/>
  <c r="AY18" i="18"/>
  <c r="AX18" i="18"/>
  <c r="AZ18" i="18" s="1"/>
  <c r="AI34" i="18"/>
  <c r="AK34" i="18" s="1"/>
  <c r="AT17" i="18"/>
  <c r="AS17" i="18"/>
  <c r="AU17" i="18" s="1"/>
  <c r="AT12" i="18"/>
  <c r="AS12" i="18"/>
  <c r="AU12" i="18" s="1"/>
  <c r="AT56" i="18"/>
  <c r="AS56" i="18"/>
  <c r="AU56" i="18" s="1"/>
  <c r="AT24" i="18"/>
  <c r="AT54" i="18"/>
  <c r="AS9" i="18"/>
  <c r="AU9" i="18" s="1"/>
  <c r="AN62" i="18"/>
  <c r="AP62" i="18" s="1"/>
  <c r="AN51" i="18"/>
  <c r="AP51" i="18" s="1"/>
  <c r="AO42" i="18"/>
  <c r="AN42" i="18"/>
  <c r="AP42" i="18" s="1"/>
  <c r="AO29" i="18"/>
  <c r="AN29" i="18"/>
  <c r="AP29" i="18" s="1"/>
  <c r="AN32" i="18"/>
  <c r="AP32" i="18" s="1"/>
  <c r="AO33" i="18"/>
  <c r="AN33" i="18"/>
  <c r="AP33" i="18" s="1"/>
  <c r="AX5" i="18"/>
  <c r="AZ5" i="18" s="1"/>
  <c r="AT8" i="18"/>
  <c r="AT57" i="18"/>
  <c r="AI26" i="18"/>
  <c r="AK26" i="18" s="1"/>
  <c r="AJ26" i="18"/>
  <c r="AY27" i="18"/>
  <c r="AJ18" i="18"/>
  <c r="AY19" i="18"/>
  <c r="AX19" i="18"/>
  <c r="AZ19" i="18" s="1"/>
  <c r="AS36" i="18"/>
  <c r="AU36" i="18" s="1"/>
  <c r="AJ31" i="18"/>
  <c r="AI31" i="18"/>
  <c r="AK31" i="18" s="1"/>
  <c r="AO34" i="18"/>
  <c r="AN34" i="18"/>
  <c r="AP34" i="18" s="1"/>
  <c r="AO47" i="18"/>
  <c r="AN47" i="18"/>
  <c r="AP47" i="18" s="1"/>
  <c r="AY60" i="18"/>
  <c r="AX60" i="18"/>
  <c r="AZ60" i="18" s="1"/>
  <c r="AO49" i="18"/>
  <c r="AX12" i="18"/>
  <c r="AZ12" i="18" s="1"/>
  <c r="AO53" i="18"/>
  <c r="AN53" i="18"/>
  <c r="AP53" i="18" s="1"/>
  <c r="AY37" i="18"/>
  <c r="AX37" i="18"/>
  <c r="AZ37" i="18" s="1"/>
  <c r="AO65" i="18"/>
  <c r="AX56" i="18"/>
  <c r="AZ56" i="18" s="1"/>
  <c r="AO52" i="18"/>
  <c r="AN52" i="18"/>
  <c r="AP52" i="18" s="1"/>
  <c r="AY61" i="18"/>
  <c r="AX61" i="18"/>
  <c r="AZ61" i="18" s="1"/>
  <c r="AX40" i="18"/>
  <c r="AZ40" i="18" s="1"/>
  <c r="AO67" i="18"/>
  <c r="AN67" i="18"/>
  <c r="AP67" i="18" s="1"/>
  <c r="AY50" i="18"/>
  <c r="AX50" i="18"/>
  <c r="AZ50" i="18" s="1"/>
  <c r="AX23" i="18"/>
  <c r="AZ23" i="18" s="1"/>
  <c r="AO64" i="18"/>
  <c r="AN64" i="18"/>
  <c r="AP64" i="18" s="1"/>
  <c r="AT28" i="18"/>
  <c r="AS28" i="18"/>
  <c r="AU28" i="18" s="1"/>
  <c r="AN43" i="18"/>
  <c r="AP43" i="18" s="1"/>
  <c r="AO24" i="18"/>
  <c r="AN24" i="18"/>
  <c r="AP24" i="18" s="1"/>
  <c r="AO30" i="18"/>
  <c r="AN30" i="18"/>
  <c r="AP30" i="18" s="1"/>
  <c r="AO54" i="18"/>
  <c r="AN54" i="18"/>
  <c r="AP54" i="18" s="1"/>
  <c r="AO8" i="18"/>
  <c r="AN8" i="18"/>
  <c r="AP8" i="18" s="1"/>
  <c r="AX57" i="18"/>
  <c r="AZ57" i="18" s="1"/>
  <c r="AN27" i="18"/>
  <c r="AP27" i="18" s="1"/>
  <c r="AX20" i="18"/>
  <c r="AZ20" i="18" s="1"/>
  <c r="AY21" i="18"/>
  <c r="AX21" i="18"/>
  <c r="AZ21" i="18" s="1"/>
  <c r="AX13" i="18"/>
  <c r="AZ13" i="18" s="1"/>
  <c r="AO55" i="18"/>
  <c r="AN55" i="18"/>
  <c r="AP55" i="18" s="1"/>
  <c r="AX66" i="18"/>
  <c r="AZ66" i="18" s="1"/>
  <c r="AX48" i="18"/>
  <c r="AZ48" i="18" s="1"/>
  <c r="AO17" i="18"/>
  <c r="AN17" i="18"/>
  <c r="AP17" i="18" s="1"/>
  <c r="AY42" i="18"/>
  <c r="AX42" i="18"/>
  <c r="AZ42" i="18" s="1"/>
  <c r="AX28" i="18"/>
  <c r="AZ28" i="18" s="1"/>
  <c r="AY29" i="18"/>
  <c r="AX29" i="18"/>
  <c r="AZ29" i="18" s="1"/>
  <c r="AI33" i="18"/>
  <c r="AK33" i="18" s="1"/>
  <c r="AO25" i="18"/>
  <c r="AO57" i="18"/>
  <c r="AY58" i="18"/>
  <c r="AX10" i="18"/>
  <c r="AZ10" i="18" s="1"/>
  <c r="AJ49" i="18"/>
  <c r="AI49" i="18"/>
  <c r="AK49" i="18" s="1"/>
  <c r="AJ65" i="18"/>
  <c r="AI65" i="18"/>
  <c r="AK65" i="18" s="1"/>
  <c r="AJ62" i="18"/>
  <c r="AI62" i="18"/>
  <c r="AK62" i="18" s="1"/>
  <c r="AT4" i="18"/>
  <c r="AJ29" i="18"/>
  <c r="AS30" i="18"/>
  <c r="AU30" i="18" s="1"/>
  <c r="AY32" i="18"/>
  <c r="AO36" i="18"/>
  <c r="AN36" i="18"/>
  <c r="AP36" i="18" s="1"/>
  <c r="AY31" i="18"/>
  <c r="AJ16" i="18"/>
  <c r="AI21" i="18"/>
  <c r="AK21" i="18" s="1"/>
  <c r="AI59" i="18"/>
  <c r="AK59" i="18" s="1"/>
  <c r="AI41" i="18"/>
  <c r="AK41" i="18" s="1"/>
  <c r="AT23" i="18"/>
  <c r="AS23" i="18"/>
  <c r="AU23" i="18" s="1"/>
  <c r="AI38" i="18"/>
  <c r="AK38" i="18" s="1"/>
  <c r="AT43" i="18"/>
  <c r="AS43" i="18"/>
  <c r="AU43" i="18" s="1"/>
  <c r="AT7" i="18"/>
  <c r="AS7" i="18"/>
  <c r="AU7" i="18" s="1"/>
  <c r="AT25" i="18"/>
  <c r="AS25" i="18"/>
  <c r="AU25" i="18" s="1"/>
  <c r="AI4" i="18"/>
  <c r="AK4" i="18" s="1"/>
  <c r="AN28" i="18"/>
  <c r="AP28" i="18" s="1"/>
  <c r="AX43" i="18"/>
  <c r="AZ43" i="18" s="1"/>
  <c r="AI24" i="18"/>
  <c r="AK24" i="18" s="1"/>
  <c r="AY24" i="18"/>
  <c r="AX24" i="18"/>
  <c r="AZ24" i="18" s="1"/>
  <c r="AX7" i="18"/>
  <c r="AZ7" i="18" s="1"/>
  <c r="AI30" i="18"/>
  <c r="AK30" i="18" s="1"/>
  <c r="AY30" i="18"/>
  <c r="AX30" i="18"/>
  <c r="AZ30" i="18" s="1"/>
  <c r="AX25" i="18"/>
  <c r="AZ25" i="18" s="1"/>
  <c r="AI54" i="18"/>
  <c r="AK54" i="18" s="1"/>
  <c r="AY54" i="18"/>
  <c r="AX54" i="18"/>
  <c r="AZ54" i="18" s="1"/>
  <c r="AN5" i="18"/>
  <c r="AP5" i="18" s="1"/>
  <c r="AI8" i="18"/>
  <c r="AK8" i="18" s="1"/>
  <c r="AS45" i="18"/>
  <c r="AU45" i="18" s="1"/>
  <c r="AJ57" i="18"/>
  <c r="AI57" i="18"/>
  <c r="AK57" i="18" s="1"/>
  <c r="AJ9" i="18"/>
  <c r="AX26" i="18"/>
  <c r="AZ26" i="18" s="1"/>
  <c r="AI27" i="18"/>
  <c r="AK27" i="18" s="1"/>
  <c r="AJ46" i="18"/>
  <c r="AI46" i="18"/>
  <c r="AK46" i="18" s="1"/>
  <c r="AT47" i="18"/>
  <c r="AS47" i="18"/>
  <c r="AU47" i="18" s="1"/>
  <c r="AJ22" i="18"/>
  <c r="AI22" i="18"/>
  <c r="AK22" i="18" s="1"/>
  <c r="AS53" i="18"/>
  <c r="AU53" i="18" s="1"/>
  <c r="AT53" i="18"/>
  <c r="AJ15" i="18"/>
  <c r="AI15" i="18"/>
  <c r="AK15" i="18" s="1"/>
  <c r="AS52" i="18"/>
  <c r="AU52" i="18" s="1"/>
  <c r="AT52" i="18"/>
  <c r="AJ44" i="18"/>
  <c r="AI44" i="18"/>
  <c r="AK44" i="18" s="1"/>
  <c r="AS67" i="18"/>
  <c r="AU67" i="18" s="1"/>
  <c r="AT67" i="18"/>
  <c r="AJ39" i="18"/>
  <c r="AI39" i="18"/>
  <c r="AK39" i="18" s="1"/>
  <c r="AS64" i="18"/>
  <c r="AU64" i="18" s="1"/>
  <c r="AT64" i="18"/>
  <c r="AT32" i="18"/>
  <c r="AS32" i="18"/>
  <c r="AU32" i="18" s="1"/>
  <c r="AY16" i="18"/>
  <c r="AX16" i="18"/>
  <c r="AZ16" i="18" s="1"/>
  <c r="AY59" i="18"/>
  <c r="AX59" i="18"/>
  <c r="AZ59" i="18" s="1"/>
  <c r="AY41" i="18"/>
  <c r="AX41" i="18"/>
  <c r="AZ41" i="18" s="1"/>
  <c r="AY38" i="18"/>
  <c r="AX38" i="18"/>
  <c r="AZ38" i="18" s="1"/>
  <c r="AT5" i="18"/>
  <c r="AJ36" i="18"/>
  <c r="AI36" i="18"/>
  <c r="AK36" i="18" s="1"/>
  <c r="AS11" i="18"/>
  <c r="AU11" i="18" s="1"/>
  <c r="AT11" i="18"/>
  <c r="AT55" i="18"/>
  <c r="AS55" i="18"/>
  <c r="AU55" i="18" s="1"/>
  <c r="AT63" i="18"/>
  <c r="AS63" i="18"/>
  <c r="AU63" i="18" s="1"/>
  <c r="AJ51" i="18"/>
  <c r="AI51" i="18"/>
  <c r="AK51" i="18" s="1"/>
  <c r="AJ28" i="18"/>
  <c r="AI28" i="18"/>
  <c r="AK28" i="18" s="1"/>
  <c r="AJ32" i="18"/>
  <c r="AI32" i="18"/>
  <c r="AK32" i="18" s="1"/>
  <c r="AJ5" i="18"/>
  <c r="AI5" i="18"/>
  <c r="AK5" i="18" s="1"/>
  <c r="AS6" i="18"/>
  <c r="AU6" i="18" s="1"/>
  <c r="AT40" i="18"/>
  <c r="AS40" i="18"/>
  <c r="AU40" i="18" s="1"/>
  <c r="AT19" i="18"/>
  <c r="AS19" i="18"/>
  <c r="AU19" i="18" s="1"/>
  <c r="AJ43" i="18"/>
  <c r="AI43" i="18"/>
  <c r="AK43" i="18" s="1"/>
  <c r="AJ7" i="18"/>
  <c r="AI7" i="18"/>
  <c r="AK7" i="18" s="1"/>
  <c r="AJ25" i="18"/>
  <c r="AI25" i="18"/>
  <c r="AK25" i="18" s="1"/>
  <c r="AJ58" i="18"/>
  <c r="AI58" i="18"/>
  <c r="AK58" i="18" s="1"/>
  <c r="AY9" i="18"/>
  <c r="AX9" i="18"/>
  <c r="AZ9" i="18" s="1"/>
  <c r="AO18" i="18"/>
  <c r="AN18" i="18"/>
  <c r="AP18" i="18" s="1"/>
  <c r="AT20" i="18"/>
  <c r="AS20" i="18"/>
  <c r="AU20" i="18" s="1"/>
  <c r="AT13" i="18"/>
  <c r="AS13" i="18"/>
  <c r="AU13" i="18" s="1"/>
  <c r="AT66" i="18"/>
  <c r="AS66" i="18"/>
  <c r="AU66" i="18" s="1"/>
  <c r="AI61" i="18"/>
  <c r="AK61" i="18" s="1"/>
  <c r="AT48" i="18"/>
  <c r="AS48" i="18"/>
  <c r="AU48" i="18" s="1"/>
  <c r="AI50" i="18"/>
  <c r="AK50" i="18" s="1"/>
  <c r="AJ12" i="18"/>
  <c r="AI12" i="18"/>
  <c r="AK12" i="18" s="1"/>
  <c r="AY36" i="18"/>
  <c r="AX36" i="18"/>
  <c r="AZ36" i="18" s="1"/>
  <c r="AT46" i="18"/>
  <c r="AS46" i="18"/>
  <c r="AU46" i="18" s="1"/>
  <c r="AT49" i="18"/>
  <c r="AS49" i="18"/>
  <c r="AU49" i="18" s="1"/>
  <c r="AT22" i="18"/>
  <c r="AS22" i="18"/>
  <c r="AU22" i="18" s="1"/>
  <c r="AT65" i="18"/>
  <c r="AS65" i="18"/>
  <c r="AU65" i="18" s="1"/>
  <c r="AT15" i="18"/>
  <c r="AS15" i="18"/>
  <c r="AU15" i="18" s="1"/>
  <c r="AT62" i="18"/>
  <c r="AS62" i="18"/>
  <c r="AU62" i="18" s="1"/>
  <c r="AT44" i="18"/>
  <c r="AS44" i="18"/>
  <c r="AU44" i="18" s="1"/>
  <c r="AT51" i="18"/>
  <c r="AS51" i="18"/>
  <c r="AU51" i="18" s="1"/>
  <c r="AT39" i="18"/>
  <c r="AS39" i="18"/>
  <c r="AU39" i="18" s="1"/>
  <c r="AJ13" i="18"/>
  <c r="AI13" i="18"/>
  <c r="AK13" i="18" s="1"/>
  <c r="AJ56" i="18"/>
  <c r="AI56" i="18"/>
  <c r="AK56" i="18" s="1"/>
  <c r="AJ40" i="18"/>
  <c r="AI40" i="18"/>
  <c r="AK40" i="18" s="1"/>
  <c r="AJ23" i="18"/>
  <c r="AI23" i="18"/>
  <c r="AK23" i="18" s="1"/>
  <c r="AS58" i="18"/>
  <c r="AU58" i="18" s="1"/>
  <c r="AS18" i="18"/>
  <c r="AU18" i="18" s="1"/>
  <c r="AJ19" i="18"/>
  <c r="AI19" i="18"/>
  <c r="AK19" i="18" s="1"/>
  <c r="AS34" i="18"/>
  <c r="AU34" i="18" s="1"/>
  <c r="AO16" i="18"/>
  <c r="AN16" i="18"/>
  <c r="AP16" i="18" s="1"/>
  <c r="AN20" i="18"/>
  <c r="AP20" i="18" s="1"/>
  <c r="AO60" i="18"/>
  <c r="AN60" i="18"/>
  <c r="AP60" i="18" s="1"/>
  <c r="AN12" i="18"/>
  <c r="AP12" i="18" s="1"/>
  <c r="AO21" i="18"/>
  <c r="AN21" i="18"/>
  <c r="AP21" i="18" s="1"/>
  <c r="AN13" i="18"/>
  <c r="AP13" i="18" s="1"/>
  <c r="AO37" i="18"/>
  <c r="AN37" i="18"/>
  <c r="AP37" i="18" s="1"/>
  <c r="AN56" i="18"/>
  <c r="AP56" i="18" s="1"/>
  <c r="AO59" i="18"/>
  <c r="AN59" i="18"/>
  <c r="AP59" i="18" s="1"/>
  <c r="AN66" i="18"/>
  <c r="AP66" i="18" s="1"/>
  <c r="AO61" i="18"/>
  <c r="AN61" i="18"/>
  <c r="AP61" i="18" s="1"/>
  <c r="AN40" i="18"/>
  <c r="AP40" i="18" s="1"/>
  <c r="AO41" i="18"/>
  <c r="AN41" i="18"/>
  <c r="AP41" i="18" s="1"/>
  <c r="AN48" i="18"/>
  <c r="AP48" i="18" s="1"/>
  <c r="AO50" i="18"/>
  <c r="AN50" i="18"/>
  <c r="AP50" i="18" s="1"/>
  <c r="AN23" i="18"/>
  <c r="AP23" i="18" s="1"/>
  <c r="AO38" i="18"/>
  <c r="AN38" i="18"/>
  <c r="AP38" i="18" s="1"/>
  <c r="AJ20" i="18"/>
  <c r="AI20" i="18"/>
  <c r="AK20" i="18" s="1"/>
  <c r="AJ66" i="18"/>
  <c r="AI66" i="18"/>
  <c r="AK66" i="18" s="1"/>
  <c r="AJ48" i="18"/>
  <c r="AI48" i="18"/>
  <c r="AK48" i="18" s="1"/>
  <c r="AT27" i="18"/>
  <c r="AS27" i="18"/>
  <c r="AU27" i="18" s="1"/>
  <c r="AT31" i="18"/>
  <c r="AS31" i="18"/>
  <c r="AU31" i="18" s="1"/>
  <c r="AY47" i="18"/>
  <c r="AX47" i="18"/>
  <c r="AZ47" i="18" s="1"/>
  <c r="AY11" i="18"/>
  <c r="AX11" i="18"/>
  <c r="AZ11" i="18" s="1"/>
  <c r="AY53" i="18"/>
  <c r="AX53" i="18"/>
  <c r="AZ53" i="18" s="1"/>
  <c r="AY55" i="18"/>
  <c r="AX55" i="18"/>
  <c r="AZ55" i="18" s="1"/>
  <c r="AY52" i="18"/>
  <c r="AX52" i="18"/>
  <c r="AZ52" i="18" s="1"/>
  <c r="AY63" i="18"/>
  <c r="AX63" i="18"/>
  <c r="AZ63" i="18" s="1"/>
  <c r="AY67" i="18"/>
  <c r="AX67" i="18"/>
  <c r="AZ67" i="18" s="1"/>
  <c r="AY17" i="18"/>
  <c r="AX17" i="18"/>
  <c r="AZ17" i="18" s="1"/>
  <c r="AY64" i="18"/>
  <c r="AX64" i="18"/>
  <c r="AZ64" i="18" s="1"/>
  <c r="AU2" i="19" l="1"/>
  <c r="AV2" i="19"/>
  <c r="AV3" i="19"/>
  <c r="AV4" i="19"/>
  <c r="AV5" i="19"/>
  <c r="AV6" i="19"/>
  <c r="AV7" i="19"/>
  <c r="AV8" i="19"/>
  <c r="AV9" i="19"/>
  <c r="AV10" i="19"/>
  <c r="AV11" i="19"/>
  <c r="AV12" i="19"/>
  <c r="AV13" i="19"/>
  <c r="AV14" i="19"/>
  <c r="AV15" i="19"/>
  <c r="AV16" i="19"/>
  <c r="AV17" i="19"/>
  <c r="AV18" i="19"/>
  <c r="AV19" i="19"/>
  <c r="AV20" i="19"/>
  <c r="AV21" i="19"/>
  <c r="AV22" i="19"/>
  <c r="AV23" i="19"/>
  <c r="AV24" i="19"/>
  <c r="AV25" i="19"/>
  <c r="AV26" i="19"/>
  <c r="AV27" i="19"/>
  <c r="AV28" i="19"/>
  <c r="AV29" i="19"/>
  <c r="AV30" i="19"/>
  <c r="AV31" i="19"/>
  <c r="AV32" i="19"/>
  <c r="AV33" i="19"/>
  <c r="AV34" i="19"/>
  <c r="AV35" i="19"/>
  <c r="AV36" i="19"/>
  <c r="AV37" i="19"/>
  <c r="AV38" i="19"/>
  <c r="AV39" i="19"/>
  <c r="AV40" i="19"/>
  <c r="AV41" i="19"/>
  <c r="AV42" i="19"/>
  <c r="AV43" i="19"/>
  <c r="AV44" i="19"/>
  <c r="AV45" i="19"/>
  <c r="AV46" i="19"/>
  <c r="AV47" i="19"/>
  <c r="AU3" i="19"/>
  <c r="AU4" i="19"/>
  <c r="AU5" i="19"/>
  <c r="AU6" i="19"/>
  <c r="AU7" i="19"/>
  <c r="AU8" i="19"/>
  <c r="AU9" i="19"/>
  <c r="AU10" i="19"/>
  <c r="AU11" i="19"/>
  <c r="AU12" i="19"/>
  <c r="AU13" i="19"/>
  <c r="AU14" i="19"/>
  <c r="AU15" i="19"/>
  <c r="AU16" i="19"/>
  <c r="AU17" i="19"/>
  <c r="AU18" i="19"/>
  <c r="AU19" i="19"/>
  <c r="AU20" i="19"/>
  <c r="AU21" i="19"/>
  <c r="AU22" i="19"/>
  <c r="AU23" i="19"/>
  <c r="AU24" i="19"/>
  <c r="AU25" i="19"/>
  <c r="AU26" i="19"/>
  <c r="AU27" i="19"/>
  <c r="AU28" i="19"/>
  <c r="AU29" i="19"/>
  <c r="AU30" i="19"/>
  <c r="AU31" i="19"/>
  <c r="AU32" i="19"/>
  <c r="AU33" i="19"/>
  <c r="AU34" i="19"/>
  <c r="AU35" i="19"/>
  <c r="AU36" i="19"/>
  <c r="AU37" i="19"/>
  <c r="AU38" i="19"/>
  <c r="AU39" i="19"/>
  <c r="AU40" i="19"/>
  <c r="AU41" i="19"/>
  <c r="AU42" i="19"/>
  <c r="AU43" i="19"/>
  <c r="AU44" i="19"/>
  <c r="AU45" i="19"/>
  <c r="AU46" i="19"/>
  <c r="AU47" i="19"/>
  <c r="AB367" i="19" l="1"/>
  <c r="AA367" i="19"/>
  <c r="Z367" i="19"/>
  <c r="Y367" i="19"/>
  <c r="X367" i="19"/>
  <c r="AD367" i="19" s="1"/>
  <c r="W367" i="19"/>
  <c r="V367" i="19"/>
  <c r="AB366" i="19"/>
  <c r="AA366" i="19"/>
  <c r="Z366" i="19"/>
  <c r="Y366" i="19"/>
  <c r="X366" i="19"/>
  <c r="W366" i="19"/>
  <c r="V366" i="19"/>
  <c r="O366" i="19"/>
  <c r="AB365" i="19"/>
  <c r="AA365" i="19"/>
  <c r="Z365" i="19"/>
  <c r="Y365" i="19"/>
  <c r="AD365" i="19" s="1"/>
  <c r="X365" i="19"/>
  <c r="W365" i="19"/>
  <c r="V365" i="19"/>
  <c r="O364" i="19"/>
  <c r="AB363" i="19"/>
  <c r="AA363" i="19"/>
  <c r="Z363" i="19"/>
  <c r="Y363" i="19"/>
  <c r="X363" i="19"/>
  <c r="W363" i="19"/>
  <c r="V363" i="19"/>
  <c r="O363" i="19"/>
  <c r="O365" i="19" s="1"/>
  <c r="AB359" i="19"/>
  <c r="AA359" i="19"/>
  <c r="Z359" i="19"/>
  <c r="Y359" i="19"/>
  <c r="X359" i="19"/>
  <c r="W359" i="19"/>
  <c r="V359" i="19"/>
  <c r="AB358" i="19"/>
  <c r="AA358" i="19"/>
  <c r="Z358" i="19"/>
  <c r="Y358" i="19"/>
  <c r="X358" i="19"/>
  <c r="W358" i="19"/>
  <c r="V358" i="19"/>
  <c r="O358" i="19"/>
  <c r="AB357" i="19"/>
  <c r="AA357" i="19"/>
  <c r="Z357" i="19"/>
  <c r="Y357" i="19"/>
  <c r="X357" i="19"/>
  <c r="W357" i="19"/>
  <c r="V357" i="19"/>
  <c r="O356" i="19"/>
  <c r="AB355" i="19"/>
  <c r="AA355" i="19"/>
  <c r="Z355" i="19"/>
  <c r="Y355" i="19"/>
  <c r="X355" i="19"/>
  <c r="W355" i="19"/>
  <c r="V355" i="19"/>
  <c r="O355" i="19"/>
  <c r="O357" i="19" s="1"/>
  <c r="AB351" i="19"/>
  <c r="AA351" i="19"/>
  <c r="Z351" i="19"/>
  <c r="Y351" i="19"/>
  <c r="X351" i="19"/>
  <c r="W351" i="19"/>
  <c r="V351" i="19"/>
  <c r="AB350" i="19"/>
  <c r="AA350" i="19"/>
  <c r="Z350" i="19"/>
  <c r="Y350" i="19"/>
  <c r="X350" i="19"/>
  <c r="AD350" i="19" s="1"/>
  <c r="W350" i="19"/>
  <c r="V350" i="19"/>
  <c r="O350" i="19"/>
  <c r="AB349" i="19"/>
  <c r="AA349" i="19"/>
  <c r="Z349" i="19"/>
  <c r="Y349" i="19"/>
  <c r="X349" i="19"/>
  <c r="W349" i="19"/>
  <c r="V349" i="19"/>
  <c r="O348" i="19"/>
  <c r="AB347" i="19"/>
  <c r="AA347" i="19"/>
  <c r="Z347" i="19"/>
  <c r="Y347" i="19"/>
  <c r="X347" i="19"/>
  <c r="W347" i="19"/>
  <c r="V347" i="19"/>
  <c r="O347" i="19"/>
  <c r="O349" i="19" s="1"/>
  <c r="AB343" i="19"/>
  <c r="AA343" i="19"/>
  <c r="Z343" i="19"/>
  <c r="Y343" i="19"/>
  <c r="X343" i="19"/>
  <c r="W343" i="19"/>
  <c r="V343" i="19"/>
  <c r="U343" i="19"/>
  <c r="AD343" i="19" s="1"/>
  <c r="AB342" i="19"/>
  <c r="AA342" i="19"/>
  <c r="Z342" i="19"/>
  <c r="Y342" i="19"/>
  <c r="X342" i="19"/>
  <c r="W342" i="19"/>
  <c r="V342" i="19"/>
  <c r="U342" i="19"/>
  <c r="AD342" i="19" s="1"/>
  <c r="O342" i="19"/>
  <c r="AB341" i="19"/>
  <c r="AA341" i="19"/>
  <c r="Z341" i="19"/>
  <c r="Y341" i="19"/>
  <c r="X341" i="19"/>
  <c r="W341" i="19"/>
  <c r="V341" i="19"/>
  <c r="U341" i="19"/>
  <c r="O340" i="19"/>
  <c r="AB339" i="19"/>
  <c r="AA339" i="19"/>
  <c r="Z339" i="19"/>
  <c r="Y339" i="19"/>
  <c r="X339" i="19"/>
  <c r="W339" i="19"/>
  <c r="V339" i="19"/>
  <c r="U339" i="19"/>
  <c r="O339" i="19"/>
  <c r="O341" i="19" s="1"/>
  <c r="AB335" i="19"/>
  <c r="AA335" i="19"/>
  <c r="Z335" i="19"/>
  <c r="Y335" i="19"/>
  <c r="X335" i="19"/>
  <c r="W335" i="19"/>
  <c r="V335" i="19"/>
  <c r="AB334" i="19"/>
  <c r="AA334" i="19"/>
  <c r="Z334" i="19"/>
  <c r="Y334" i="19"/>
  <c r="X334" i="19"/>
  <c r="AD334" i="19" s="1"/>
  <c r="W334" i="19"/>
  <c r="V334" i="19"/>
  <c r="O334" i="19"/>
  <c r="AB333" i="19"/>
  <c r="AA333" i="19"/>
  <c r="Z333" i="19"/>
  <c r="Y333" i="19"/>
  <c r="X333" i="19"/>
  <c r="W333" i="19"/>
  <c r="V333" i="19"/>
  <c r="O332" i="19"/>
  <c r="AB331" i="19"/>
  <c r="AA331" i="19"/>
  <c r="Z331" i="19"/>
  <c r="Y331" i="19"/>
  <c r="X331" i="19"/>
  <c r="W331" i="19"/>
  <c r="V331" i="19"/>
  <c r="O331" i="19"/>
  <c r="O333" i="19" s="1"/>
  <c r="AB327" i="19"/>
  <c r="AA327" i="19"/>
  <c r="Z327" i="19"/>
  <c r="Y327" i="19"/>
  <c r="X327" i="19"/>
  <c r="W327" i="19"/>
  <c r="V327" i="19"/>
  <c r="AB326" i="19"/>
  <c r="AA326" i="19"/>
  <c r="Z326" i="19"/>
  <c r="Y326" i="19"/>
  <c r="X326" i="19"/>
  <c r="W326" i="19"/>
  <c r="V326" i="19"/>
  <c r="O326" i="19"/>
  <c r="AB325" i="19"/>
  <c r="AA325" i="19"/>
  <c r="Z325" i="19"/>
  <c r="Y325" i="19"/>
  <c r="X325" i="19"/>
  <c r="W325" i="19"/>
  <c r="V325" i="19"/>
  <c r="O324" i="19"/>
  <c r="AB323" i="19"/>
  <c r="AA323" i="19"/>
  <c r="Z323" i="19"/>
  <c r="Y323" i="19"/>
  <c r="X323" i="19"/>
  <c r="W323" i="19"/>
  <c r="V323" i="19"/>
  <c r="O323" i="19"/>
  <c r="O325" i="19" s="1"/>
  <c r="AB319" i="19"/>
  <c r="AA319" i="19"/>
  <c r="Z319" i="19"/>
  <c r="Y319" i="19"/>
  <c r="X319" i="19"/>
  <c r="AD319" i="19" s="1"/>
  <c r="W319" i="19"/>
  <c r="V319" i="19"/>
  <c r="AB318" i="19"/>
  <c r="AA318" i="19"/>
  <c r="Z318" i="19"/>
  <c r="Y318" i="19"/>
  <c r="X318" i="19"/>
  <c r="W318" i="19"/>
  <c r="V318" i="19"/>
  <c r="O318" i="19"/>
  <c r="AB317" i="19"/>
  <c r="AA317" i="19"/>
  <c r="Z317" i="19"/>
  <c r="Y317" i="19"/>
  <c r="X317" i="19"/>
  <c r="W317" i="19"/>
  <c r="V317" i="19"/>
  <c r="O316" i="19"/>
  <c r="AB315" i="19"/>
  <c r="AA315" i="19"/>
  <c r="Z315" i="19"/>
  <c r="Y315" i="19"/>
  <c r="X315" i="19"/>
  <c r="W315" i="19"/>
  <c r="V315" i="19"/>
  <c r="O315" i="19"/>
  <c r="O317" i="19" s="1"/>
  <c r="AB311" i="19"/>
  <c r="AA311" i="19"/>
  <c r="Z311" i="19"/>
  <c r="Y311" i="19"/>
  <c r="X311" i="19"/>
  <c r="W311" i="19"/>
  <c r="V311" i="19"/>
  <c r="AB310" i="19"/>
  <c r="AA310" i="19"/>
  <c r="Z310" i="19"/>
  <c r="Y310" i="19"/>
  <c r="X310" i="19"/>
  <c r="W310" i="19"/>
  <c r="V310" i="19"/>
  <c r="O310" i="19"/>
  <c r="AB309" i="19"/>
  <c r="AA309" i="19"/>
  <c r="Z309" i="19"/>
  <c r="Y309" i="19"/>
  <c r="X309" i="19"/>
  <c r="W309" i="19"/>
  <c r="V309" i="19"/>
  <c r="O308" i="19"/>
  <c r="AB307" i="19"/>
  <c r="AA307" i="19"/>
  <c r="Z307" i="19"/>
  <c r="Y307" i="19"/>
  <c r="X307" i="19"/>
  <c r="W307" i="19"/>
  <c r="V307" i="19"/>
  <c r="O307" i="19"/>
  <c r="O309" i="19" s="1"/>
  <c r="AB303" i="19"/>
  <c r="AA303" i="19"/>
  <c r="Z303" i="19"/>
  <c r="Y303" i="19"/>
  <c r="X303" i="19"/>
  <c r="W303" i="19"/>
  <c r="V303" i="19"/>
  <c r="AB302" i="19"/>
  <c r="AA302" i="19"/>
  <c r="Z302" i="19"/>
  <c r="Y302" i="19"/>
  <c r="X302" i="19"/>
  <c r="AD302" i="19" s="1"/>
  <c r="W302" i="19"/>
  <c r="V302" i="19"/>
  <c r="O302" i="19"/>
  <c r="AB301" i="19"/>
  <c r="AA301" i="19"/>
  <c r="Z301" i="19"/>
  <c r="Y301" i="19"/>
  <c r="X301" i="19"/>
  <c r="W301" i="19"/>
  <c r="V301" i="19"/>
  <c r="O300" i="19"/>
  <c r="AB299" i="19"/>
  <c r="AA299" i="19"/>
  <c r="Z299" i="19"/>
  <c r="Y299" i="19"/>
  <c r="X299" i="19"/>
  <c r="W299" i="19"/>
  <c r="V299" i="19"/>
  <c r="O299" i="19"/>
  <c r="O301" i="19" s="1"/>
  <c r="AB295" i="19"/>
  <c r="AA295" i="19"/>
  <c r="Z295" i="19"/>
  <c r="Y295" i="19"/>
  <c r="X295" i="19"/>
  <c r="W295" i="19"/>
  <c r="V295" i="19"/>
  <c r="AB294" i="19"/>
  <c r="AA294" i="19"/>
  <c r="Z294" i="19"/>
  <c r="Y294" i="19"/>
  <c r="X294" i="19"/>
  <c r="W294" i="19"/>
  <c r="V294" i="19"/>
  <c r="O294" i="19"/>
  <c r="AB293" i="19"/>
  <c r="AA293" i="19"/>
  <c r="Z293" i="19"/>
  <c r="Y293" i="19"/>
  <c r="X293" i="19"/>
  <c r="W293" i="19"/>
  <c r="V293" i="19"/>
  <c r="O292" i="19"/>
  <c r="AB291" i="19"/>
  <c r="AA291" i="19"/>
  <c r="Z291" i="19"/>
  <c r="Y291" i="19"/>
  <c r="X291" i="19"/>
  <c r="W291" i="19"/>
  <c r="V291" i="19"/>
  <c r="O291" i="19"/>
  <c r="O293" i="19" s="1"/>
  <c r="AC287" i="19"/>
  <c r="AB287" i="19"/>
  <c r="AA287" i="19"/>
  <c r="Z287" i="19"/>
  <c r="Y287" i="19"/>
  <c r="AD287" i="19" s="1"/>
  <c r="X287" i="19"/>
  <c r="W287" i="19"/>
  <c r="AC286" i="19"/>
  <c r="AB286" i="19"/>
  <c r="AA286" i="19"/>
  <c r="Z286" i="19"/>
  <c r="Y286" i="19"/>
  <c r="X286" i="19"/>
  <c r="W286" i="19"/>
  <c r="O286" i="19"/>
  <c r="AC285" i="19"/>
  <c r="AB285" i="19"/>
  <c r="AA285" i="19"/>
  <c r="Z285" i="19"/>
  <c r="Y285" i="19"/>
  <c r="X285" i="19"/>
  <c r="W285" i="19"/>
  <c r="O284" i="19"/>
  <c r="AC283" i="19"/>
  <c r="AB283" i="19"/>
  <c r="AA283" i="19"/>
  <c r="Z283" i="19"/>
  <c r="Y283" i="19"/>
  <c r="X283" i="19"/>
  <c r="W283" i="19"/>
  <c r="O283" i="19"/>
  <c r="O285" i="19" s="1"/>
  <c r="AA279" i="19"/>
  <c r="Z279" i="19"/>
  <c r="Y279" i="19"/>
  <c r="X279" i="19"/>
  <c r="W279" i="19"/>
  <c r="V279" i="19"/>
  <c r="U279" i="19"/>
  <c r="AA278" i="19"/>
  <c r="Z278" i="19"/>
  <c r="Y278" i="19"/>
  <c r="X278" i="19"/>
  <c r="W278" i="19"/>
  <c r="V278" i="19"/>
  <c r="U278" i="19"/>
  <c r="O278" i="19"/>
  <c r="AA277" i="19"/>
  <c r="Z277" i="19"/>
  <c r="Y277" i="19"/>
  <c r="X277" i="19"/>
  <c r="W277" i="19"/>
  <c r="V277" i="19"/>
  <c r="U277" i="19"/>
  <c r="O276" i="19"/>
  <c r="AA275" i="19"/>
  <c r="Z275" i="19"/>
  <c r="Y275" i="19"/>
  <c r="X275" i="19"/>
  <c r="W275" i="19"/>
  <c r="V275" i="19"/>
  <c r="U275" i="19"/>
  <c r="O275" i="19"/>
  <c r="O277" i="19" s="1"/>
  <c r="AB271" i="19"/>
  <c r="AA271" i="19"/>
  <c r="Z271" i="19"/>
  <c r="Y271" i="19"/>
  <c r="X271" i="19"/>
  <c r="AD271" i="19" s="1"/>
  <c r="W271" i="19"/>
  <c r="V271" i="19"/>
  <c r="AB270" i="19"/>
  <c r="AA270" i="19"/>
  <c r="Z270" i="19"/>
  <c r="Y270" i="19"/>
  <c r="X270" i="19"/>
  <c r="W270" i="19"/>
  <c r="V270" i="19"/>
  <c r="O270" i="19"/>
  <c r="AB269" i="19"/>
  <c r="AA269" i="19"/>
  <c r="Z269" i="19"/>
  <c r="Y269" i="19"/>
  <c r="X269" i="19"/>
  <c r="W269" i="19"/>
  <c r="V269" i="19"/>
  <c r="O268" i="19"/>
  <c r="AB267" i="19"/>
  <c r="AA267" i="19"/>
  <c r="Z267" i="19"/>
  <c r="Y267" i="19"/>
  <c r="X267" i="19"/>
  <c r="W267" i="19"/>
  <c r="V267" i="19"/>
  <c r="O267" i="19"/>
  <c r="O269" i="19" s="1"/>
  <c r="AC263" i="19"/>
  <c r="AB263" i="19"/>
  <c r="AA263" i="19"/>
  <c r="Z263" i="19"/>
  <c r="Y263" i="19"/>
  <c r="X263" i="19"/>
  <c r="W263" i="19"/>
  <c r="AC262" i="19"/>
  <c r="AB262" i="19"/>
  <c r="AA262" i="19"/>
  <c r="Z262" i="19"/>
  <c r="Y262" i="19"/>
  <c r="X262" i="19"/>
  <c r="W262" i="19"/>
  <c r="O262" i="19"/>
  <c r="AC261" i="19"/>
  <c r="AB261" i="19"/>
  <c r="AA261" i="19"/>
  <c r="Z261" i="19"/>
  <c r="Y261" i="19"/>
  <c r="X261" i="19"/>
  <c r="W261" i="19"/>
  <c r="O260" i="19"/>
  <c r="AC259" i="19"/>
  <c r="AB259" i="19"/>
  <c r="AA259" i="19"/>
  <c r="Z259" i="19"/>
  <c r="Y259" i="19"/>
  <c r="X259" i="19"/>
  <c r="W259" i="19"/>
  <c r="O259" i="19"/>
  <c r="O261" i="19" s="1"/>
  <c r="AB255" i="19"/>
  <c r="AA255" i="19"/>
  <c r="Z255" i="19"/>
  <c r="Y255" i="19"/>
  <c r="X255" i="19"/>
  <c r="W255" i="19"/>
  <c r="V255" i="19"/>
  <c r="AB254" i="19"/>
  <c r="AA254" i="19"/>
  <c r="Z254" i="19"/>
  <c r="Y254" i="19"/>
  <c r="X254" i="19"/>
  <c r="W254" i="19"/>
  <c r="V254" i="19"/>
  <c r="O254" i="19"/>
  <c r="AB253" i="19"/>
  <c r="AA253" i="19"/>
  <c r="Z253" i="19"/>
  <c r="Y253" i="19"/>
  <c r="X253" i="19"/>
  <c r="W253" i="19"/>
  <c r="V253" i="19"/>
  <c r="O252" i="19"/>
  <c r="AB251" i="19"/>
  <c r="AA251" i="19"/>
  <c r="Z251" i="19"/>
  <c r="Y251" i="19"/>
  <c r="X251" i="19"/>
  <c r="W251" i="19"/>
  <c r="V251" i="19"/>
  <c r="O251" i="19"/>
  <c r="O253" i="19" s="1"/>
  <c r="AB247" i="19"/>
  <c r="AA247" i="19"/>
  <c r="Z247" i="19"/>
  <c r="Y247" i="19"/>
  <c r="X247" i="19"/>
  <c r="W247" i="19"/>
  <c r="V247" i="19"/>
  <c r="AB246" i="19"/>
  <c r="AA246" i="19"/>
  <c r="Z246" i="19"/>
  <c r="Y246" i="19"/>
  <c r="X246" i="19"/>
  <c r="W246" i="19"/>
  <c r="V246" i="19"/>
  <c r="AD246" i="19" s="1"/>
  <c r="O246" i="19"/>
  <c r="AB245" i="19"/>
  <c r="AA245" i="19"/>
  <c r="Z245" i="19"/>
  <c r="Y245" i="19"/>
  <c r="X245" i="19"/>
  <c r="W245" i="19"/>
  <c r="V245" i="19"/>
  <c r="O244" i="19"/>
  <c r="AB243" i="19"/>
  <c r="AA243" i="19"/>
  <c r="Z243" i="19"/>
  <c r="Y243" i="19"/>
  <c r="X243" i="19"/>
  <c r="W243" i="19"/>
  <c r="V243" i="19"/>
  <c r="O243" i="19"/>
  <c r="O245" i="19" s="1"/>
  <c r="AA239" i="19"/>
  <c r="Z239" i="19"/>
  <c r="Y239" i="19"/>
  <c r="X239" i="19"/>
  <c r="W239" i="19"/>
  <c r="V239" i="19"/>
  <c r="U239" i="19"/>
  <c r="T239" i="19"/>
  <c r="AA238" i="19"/>
  <c r="Z238" i="19"/>
  <c r="Y238" i="19"/>
  <c r="X238" i="19"/>
  <c r="W238" i="19"/>
  <c r="V238" i="19"/>
  <c r="U238" i="19"/>
  <c r="T238" i="19"/>
  <c r="O238" i="19"/>
  <c r="AA237" i="19"/>
  <c r="Z237" i="19"/>
  <c r="Y237" i="19"/>
  <c r="X237" i="19"/>
  <c r="W237" i="19"/>
  <c r="V237" i="19"/>
  <c r="U237" i="19"/>
  <c r="T237" i="19"/>
  <c r="O236" i="19"/>
  <c r="AA235" i="19"/>
  <c r="Z235" i="19"/>
  <c r="Y235" i="19"/>
  <c r="X235" i="19"/>
  <c r="W235" i="19"/>
  <c r="V235" i="19"/>
  <c r="U235" i="19"/>
  <c r="T235" i="19"/>
  <c r="O235" i="19"/>
  <c r="AB231" i="19"/>
  <c r="AA231" i="19"/>
  <c r="Z231" i="19"/>
  <c r="Y231" i="19"/>
  <c r="X231" i="19"/>
  <c r="W231" i="19"/>
  <c r="V231" i="19"/>
  <c r="AB230" i="19"/>
  <c r="AA230" i="19"/>
  <c r="Z230" i="19"/>
  <c r="Y230" i="19"/>
  <c r="X230" i="19"/>
  <c r="W230" i="19"/>
  <c r="V230" i="19"/>
  <c r="O230" i="19"/>
  <c r="AB229" i="19"/>
  <c r="AA229" i="19"/>
  <c r="Z229" i="19"/>
  <c r="Y229" i="19"/>
  <c r="X229" i="19"/>
  <c r="W229" i="19"/>
  <c r="V229" i="19"/>
  <c r="O228" i="19"/>
  <c r="AB227" i="19"/>
  <c r="AA227" i="19"/>
  <c r="Z227" i="19"/>
  <c r="Y227" i="19"/>
  <c r="X227" i="19"/>
  <c r="W227" i="19"/>
  <c r="V227" i="19"/>
  <c r="O227" i="19"/>
  <c r="O229" i="19" s="1"/>
  <c r="AB223" i="19"/>
  <c r="AA223" i="19"/>
  <c r="Z223" i="19"/>
  <c r="Y223" i="19"/>
  <c r="X223" i="19"/>
  <c r="AD223" i="19" s="1"/>
  <c r="W223" i="19"/>
  <c r="V223" i="19"/>
  <c r="AB222" i="19"/>
  <c r="AA222" i="19"/>
  <c r="Z222" i="19"/>
  <c r="Y222" i="19"/>
  <c r="X222" i="19"/>
  <c r="W222" i="19"/>
  <c r="V222" i="19"/>
  <c r="O222" i="19"/>
  <c r="AB221" i="19"/>
  <c r="AA221" i="19"/>
  <c r="Z221" i="19"/>
  <c r="Y221" i="19"/>
  <c r="X221" i="19"/>
  <c r="W221" i="19"/>
  <c r="V221" i="19"/>
  <c r="O220" i="19"/>
  <c r="AB219" i="19"/>
  <c r="AA219" i="19"/>
  <c r="Z219" i="19"/>
  <c r="Y219" i="19"/>
  <c r="X219" i="19"/>
  <c r="W219" i="19"/>
  <c r="V219" i="19"/>
  <c r="O219" i="19"/>
  <c r="O221" i="19" s="1"/>
  <c r="AB215" i="19"/>
  <c r="AA215" i="19"/>
  <c r="Z215" i="19"/>
  <c r="Y215" i="19"/>
  <c r="X215" i="19"/>
  <c r="W215" i="19"/>
  <c r="V215" i="19"/>
  <c r="AB214" i="19"/>
  <c r="AA214" i="19"/>
  <c r="Z214" i="19"/>
  <c r="Y214" i="19"/>
  <c r="X214" i="19"/>
  <c r="W214" i="19"/>
  <c r="V214" i="19"/>
  <c r="O214" i="19"/>
  <c r="AB213" i="19"/>
  <c r="AA213" i="19"/>
  <c r="Z213" i="19"/>
  <c r="Y213" i="19"/>
  <c r="X213" i="19"/>
  <c r="W213" i="19"/>
  <c r="V213" i="19"/>
  <c r="O212" i="19"/>
  <c r="AB211" i="19"/>
  <c r="AA211" i="19"/>
  <c r="Z211" i="19"/>
  <c r="Y211" i="19"/>
  <c r="X211" i="19"/>
  <c r="W211" i="19"/>
  <c r="V211" i="19"/>
  <c r="O211" i="19"/>
  <c r="O213" i="19" s="1"/>
  <c r="AA207" i="19"/>
  <c r="Z207" i="19"/>
  <c r="Y207" i="19"/>
  <c r="X207" i="19"/>
  <c r="W207" i="19"/>
  <c r="V207" i="19"/>
  <c r="U207" i="19"/>
  <c r="AA206" i="19"/>
  <c r="Z206" i="19"/>
  <c r="Y206" i="19"/>
  <c r="X206" i="19"/>
  <c r="W206" i="19"/>
  <c r="AD206" i="19" s="1"/>
  <c r="V206" i="19"/>
  <c r="U206" i="19"/>
  <c r="O206" i="19"/>
  <c r="AA205" i="19"/>
  <c r="Z205" i="19"/>
  <c r="Y205" i="19"/>
  <c r="X205" i="19"/>
  <c r="W205" i="19"/>
  <c r="V205" i="19"/>
  <c r="U205" i="19"/>
  <c r="O204" i="19"/>
  <c r="AA203" i="19"/>
  <c r="Z203" i="19"/>
  <c r="Y203" i="19"/>
  <c r="X203" i="19"/>
  <c r="W203" i="19"/>
  <c r="V203" i="19"/>
  <c r="U203" i="19"/>
  <c r="O203" i="19"/>
  <c r="O205" i="19" s="1"/>
  <c r="AB199" i="19"/>
  <c r="AA199" i="19"/>
  <c r="Z199" i="19"/>
  <c r="Y199" i="19"/>
  <c r="X199" i="19"/>
  <c r="W199" i="19"/>
  <c r="V199" i="19"/>
  <c r="AB198" i="19"/>
  <c r="AA198" i="19"/>
  <c r="Z198" i="19"/>
  <c r="Y198" i="19"/>
  <c r="X198" i="19"/>
  <c r="W198" i="19"/>
  <c r="V198" i="19"/>
  <c r="O198" i="19"/>
  <c r="AB197" i="19"/>
  <c r="AA197" i="19"/>
  <c r="Z197" i="19"/>
  <c r="Y197" i="19"/>
  <c r="X197" i="19"/>
  <c r="W197" i="19"/>
  <c r="V197" i="19"/>
  <c r="O196" i="19"/>
  <c r="AB195" i="19"/>
  <c r="AA195" i="19"/>
  <c r="Z195" i="19"/>
  <c r="Y195" i="19"/>
  <c r="X195" i="19"/>
  <c r="W195" i="19"/>
  <c r="V195" i="19"/>
  <c r="O195" i="19"/>
  <c r="O197" i="19" s="1"/>
  <c r="AB191" i="19"/>
  <c r="AA191" i="19"/>
  <c r="Z191" i="19"/>
  <c r="Y191" i="19"/>
  <c r="X191" i="19"/>
  <c r="AD191" i="19" s="1"/>
  <c r="W191" i="19"/>
  <c r="V191" i="19"/>
  <c r="AB190" i="19"/>
  <c r="AA190" i="19"/>
  <c r="Z190" i="19"/>
  <c r="Y190" i="19"/>
  <c r="X190" i="19"/>
  <c r="W190" i="19"/>
  <c r="V190" i="19"/>
  <c r="O190" i="19"/>
  <c r="AB189" i="19"/>
  <c r="AA189" i="19"/>
  <c r="Z189" i="19"/>
  <c r="Y189" i="19"/>
  <c r="X189" i="19"/>
  <c r="W189" i="19"/>
  <c r="V189" i="19"/>
  <c r="O188" i="19"/>
  <c r="AB187" i="19"/>
  <c r="AA187" i="19"/>
  <c r="Z187" i="19"/>
  <c r="Y187" i="19"/>
  <c r="X187" i="19"/>
  <c r="W187" i="19"/>
  <c r="V187" i="19"/>
  <c r="O187" i="19"/>
  <c r="O189" i="19" s="1"/>
  <c r="AB183" i="19"/>
  <c r="AA183" i="19"/>
  <c r="Z183" i="19"/>
  <c r="Y183" i="19"/>
  <c r="X183" i="19"/>
  <c r="W183" i="19"/>
  <c r="V183" i="19"/>
  <c r="AB182" i="19"/>
  <c r="AA182" i="19"/>
  <c r="Z182" i="19"/>
  <c r="Y182" i="19"/>
  <c r="X182" i="19"/>
  <c r="W182" i="19"/>
  <c r="V182" i="19"/>
  <c r="O182" i="19"/>
  <c r="AB181" i="19"/>
  <c r="AA181" i="19"/>
  <c r="Z181" i="19"/>
  <c r="Y181" i="19"/>
  <c r="X181" i="19"/>
  <c r="W181" i="19"/>
  <c r="V181" i="19"/>
  <c r="O180" i="19"/>
  <c r="AB179" i="19"/>
  <c r="AA179" i="19"/>
  <c r="Z179" i="19"/>
  <c r="Y179" i="19"/>
  <c r="X179" i="19"/>
  <c r="W179" i="19"/>
  <c r="V179" i="19"/>
  <c r="O179" i="19"/>
  <c r="O181" i="19" s="1"/>
  <c r="AA175" i="19"/>
  <c r="Z175" i="19"/>
  <c r="Y175" i="19"/>
  <c r="X175" i="19"/>
  <c r="W175" i="19"/>
  <c r="V175" i="19"/>
  <c r="U175" i="19"/>
  <c r="AA174" i="19"/>
  <c r="Z174" i="19"/>
  <c r="Y174" i="19"/>
  <c r="X174" i="19"/>
  <c r="W174" i="19"/>
  <c r="V174" i="19"/>
  <c r="U174" i="19"/>
  <c r="O174" i="19"/>
  <c r="AA173" i="19"/>
  <c r="Z173" i="19"/>
  <c r="Y173" i="19"/>
  <c r="X173" i="19"/>
  <c r="W173" i="19"/>
  <c r="V173" i="19"/>
  <c r="U173" i="19"/>
  <c r="O172" i="19"/>
  <c r="AA171" i="19"/>
  <c r="Z171" i="19"/>
  <c r="Y171" i="19"/>
  <c r="X171" i="19"/>
  <c r="W171" i="19"/>
  <c r="V171" i="19"/>
  <c r="U171" i="19"/>
  <c r="O171" i="19"/>
  <c r="O173" i="19" s="1"/>
  <c r="AB167" i="19"/>
  <c r="AA167" i="19"/>
  <c r="Z167" i="19"/>
  <c r="Y167" i="19"/>
  <c r="X167" i="19"/>
  <c r="W167" i="19"/>
  <c r="V167" i="19"/>
  <c r="AB166" i="19"/>
  <c r="AA166" i="19"/>
  <c r="Z166" i="19"/>
  <c r="Y166" i="19"/>
  <c r="X166" i="19"/>
  <c r="W166" i="19"/>
  <c r="V166" i="19"/>
  <c r="O166" i="19"/>
  <c r="AB165" i="19"/>
  <c r="AA165" i="19"/>
  <c r="Z165" i="19"/>
  <c r="Y165" i="19"/>
  <c r="X165" i="19"/>
  <c r="W165" i="19"/>
  <c r="V165" i="19"/>
  <c r="O164" i="19"/>
  <c r="AB163" i="19"/>
  <c r="AA163" i="19"/>
  <c r="Z163" i="19"/>
  <c r="Y163" i="19"/>
  <c r="X163" i="19"/>
  <c r="W163" i="19"/>
  <c r="V163" i="19"/>
  <c r="O163" i="19"/>
  <c r="O165" i="19" s="1"/>
  <c r="AC159" i="19"/>
  <c r="AB159" i="19"/>
  <c r="AA159" i="19"/>
  <c r="Z159" i="19"/>
  <c r="Y159" i="19"/>
  <c r="AD159" i="19" s="1"/>
  <c r="X159" i="19"/>
  <c r="W159" i="19"/>
  <c r="AC158" i="19"/>
  <c r="AB158" i="19"/>
  <c r="AA158" i="19"/>
  <c r="Z158" i="19"/>
  <c r="Y158" i="19"/>
  <c r="X158" i="19"/>
  <c r="W158" i="19"/>
  <c r="O158" i="19"/>
  <c r="AC157" i="19"/>
  <c r="AB157" i="19"/>
  <c r="AA157" i="19"/>
  <c r="Z157" i="19"/>
  <c r="Y157" i="19"/>
  <c r="X157" i="19"/>
  <c r="W157" i="19"/>
  <c r="O156" i="19"/>
  <c r="AC155" i="19"/>
  <c r="AB155" i="19"/>
  <c r="AA155" i="19"/>
  <c r="Z155" i="19"/>
  <c r="Y155" i="19"/>
  <c r="X155" i="19"/>
  <c r="W155" i="19"/>
  <c r="O155" i="19"/>
  <c r="O157" i="19" s="1"/>
  <c r="AB151" i="19"/>
  <c r="AA151" i="19"/>
  <c r="Z151" i="19"/>
  <c r="Y151" i="19"/>
  <c r="X151" i="19"/>
  <c r="W151" i="19"/>
  <c r="V151" i="19"/>
  <c r="AB150" i="19"/>
  <c r="AA150" i="19"/>
  <c r="Z150" i="19"/>
  <c r="Y150" i="19"/>
  <c r="X150" i="19"/>
  <c r="W150" i="19"/>
  <c r="V150" i="19"/>
  <c r="O150" i="19"/>
  <c r="AB149" i="19"/>
  <c r="AA149" i="19"/>
  <c r="Z149" i="19"/>
  <c r="Y149" i="19"/>
  <c r="X149" i="19"/>
  <c r="W149" i="19"/>
  <c r="V149" i="19"/>
  <c r="O148" i="19"/>
  <c r="AB147" i="19"/>
  <c r="AA147" i="19"/>
  <c r="Z147" i="19"/>
  <c r="Y147" i="19"/>
  <c r="X147" i="19"/>
  <c r="AD147" i="19" s="1"/>
  <c r="W147" i="19"/>
  <c r="V147" i="19"/>
  <c r="O147" i="19"/>
  <c r="O149" i="19" s="1"/>
  <c r="AB143" i="19"/>
  <c r="AA143" i="19"/>
  <c r="Z143" i="19"/>
  <c r="Y143" i="19"/>
  <c r="X143" i="19"/>
  <c r="W143" i="19"/>
  <c r="V143" i="19"/>
  <c r="AB142" i="19"/>
  <c r="AA142" i="19"/>
  <c r="Z142" i="19"/>
  <c r="Y142" i="19"/>
  <c r="X142" i="19"/>
  <c r="W142" i="19"/>
  <c r="V142" i="19"/>
  <c r="O142" i="19"/>
  <c r="AB141" i="19"/>
  <c r="AA141" i="19"/>
  <c r="Z141" i="19"/>
  <c r="Y141" i="19"/>
  <c r="X141" i="19"/>
  <c r="AD141" i="19" s="1"/>
  <c r="W141" i="19"/>
  <c r="V141" i="19"/>
  <c r="O140" i="19"/>
  <c r="AB139" i="19"/>
  <c r="AA139" i="19"/>
  <c r="Z139" i="19"/>
  <c r="Y139" i="19"/>
  <c r="X139" i="19"/>
  <c r="W139" i="19"/>
  <c r="V139" i="19"/>
  <c r="O139" i="19"/>
  <c r="AB135" i="19"/>
  <c r="AA135" i="19"/>
  <c r="Z135" i="19"/>
  <c r="Y135" i="19"/>
  <c r="X135" i="19"/>
  <c r="W135" i="19"/>
  <c r="V135" i="19"/>
  <c r="AB134" i="19"/>
  <c r="AA134" i="19"/>
  <c r="Z134" i="19"/>
  <c r="Y134" i="19"/>
  <c r="X134" i="19"/>
  <c r="W134" i="19"/>
  <c r="V134" i="19"/>
  <c r="O134" i="19"/>
  <c r="AB133" i="19"/>
  <c r="AA133" i="19"/>
  <c r="Z133" i="19"/>
  <c r="Y133" i="19"/>
  <c r="X133" i="19"/>
  <c r="W133" i="19"/>
  <c r="V133" i="19"/>
  <c r="O132" i="19"/>
  <c r="AB131" i="19"/>
  <c r="AA131" i="19"/>
  <c r="Z131" i="19"/>
  <c r="Y131" i="19"/>
  <c r="X131" i="19"/>
  <c r="AD131" i="19" s="1"/>
  <c r="W131" i="19"/>
  <c r="V131" i="19"/>
  <c r="O131" i="19"/>
  <c r="AC127" i="19"/>
  <c r="AB127" i="19"/>
  <c r="AA127" i="19"/>
  <c r="Z127" i="19"/>
  <c r="Y127" i="19"/>
  <c r="X127" i="19"/>
  <c r="W127" i="19"/>
  <c r="AC126" i="19"/>
  <c r="AB126" i="19"/>
  <c r="AA126" i="19"/>
  <c r="Z126" i="19"/>
  <c r="Y126" i="19"/>
  <c r="X126" i="19"/>
  <c r="W126" i="19"/>
  <c r="O126" i="19"/>
  <c r="AC125" i="19"/>
  <c r="AB125" i="19"/>
  <c r="AA125" i="19"/>
  <c r="Z125" i="19"/>
  <c r="Y125" i="19"/>
  <c r="AD125" i="19" s="1"/>
  <c r="X125" i="19"/>
  <c r="W125" i="19"/>
  <c r="O124" i="19"/>
  <c r="AC123" i="19"/>
  <c r="AB123" i="19"/>
  <c r="AA123" i="19"/>
  <c r="Z123" i="19"/>
  <c r="Y123" i="19"/>
  <c r="X123" i="19"/>
  <c r="W123" i="19"/>
  <c r="O123" i="19"/>
  <c r="O125" i="19" s="1"/>
  <c r="AB119" i="19"/>
  <c r="AA119" i="19"/>
  <c r="Z119" i="19"/>
  <c r="Y119" i="19"/>
  <c r="AD119" i="19" s="1"/>
  <c r="X119" i="19"/>
  <c r="W119" i="19"/>
  <c r="V119" i="19"/>
  <c r="AB118" i="19"/>
  <c r="AA118" i="19"/>
  <c r="Z118" i="19"/>
  <c r="Y118" i="19"/>
  <c r="X118" i="19"/>
  <c r="W118" i="19"/>
  <c r="V118" i="19"/>
  <c r="O118" i="19"/>
  <c r="AB117" i="19"/>
  <c r="AA117" i="19"/>
  <c r="Z117" i="19"/>
  <c r="Y117" i="19"/>
  <c r="X117" i="19"/>
  <c r="W117" i="19"/>
  <c r="V117" i="19"/>
  <c r="O116" i="19"/>
  <c r="AB115" i="19"/>
  <c r="AA115" i="19"/>
  <c r="Z115" i="19"/>
  <c r="Y115" i="19"/>
  <c r="X115" i="19"/>
  <c r="W115" i="19"/>
  <c r="V115" i="19"/>
  <c r="O115" i="19"/>
  <c r="AC111" i="19"/>
  <c r="AB111" i="19"/>
  <c r="AA111" i="19"/>
  <c r="Z111" i="19"/>
  <c r="Y111" i="19"/>
  <c r="X111" i="19"/>
  <c r="W111" i="19"/>
  <c r="AC110" i="19"/>
  <c r="AB110" i="19"/>
  <c r="AA110" i="19"/>
  <c r="Z110" i="19"/>
  <c r="Y110" i="19"/>
  <c r="X110" i="19"/>
  <c r="W110" i="19"/>
  <c r="O110" i="19"/>
  <c r="AC109" i="19"/>
  <c r="AB109" i="19"/>
  <c r="AA109" i="19"/>
  <c r="Z109" i="19"/>
  <c r="Y109" i="19"/>
  <c r="X109" i="19"/>
  <c r="W109" i="19"/>
  <c r="O108" i="19"/>
  <c r="AC107" i="19"/>
  <c r="AB107" i="19"/>
  <c r="AA107" i="19"/>
  <c r="Z107" i="19"/>
  <c r="Y107" i="19"/>
  <c r="X107" i="19"/>
  <c r="W107" i="19"/>
  <c r="O107" i="19"/>
  <c r="O109" i="19" s="1"/>
  <c r="AB103" i="19"/>
  <c r="AA103" i="19"/>
  <c r="Z103" i="19"/>
  <c r="Y103" i="19"/>
  <c r="X103" i="19"/>
  <c r="W103" i="19"/>
  <c r="V103" i="19"/>
  <c r="AB102" i="19"/>
  <c r="AA102" i="19"/>
  <c r="Z102" i="19"/>
  <c r="Y102" i="19"/>
  <c r="X102" i="19"/>
  <c r="AD102" i="19" s="1"/>
  <c r="W102" i="19"/>
  <c r="V102" i="19"/>
  <c r="O102" i="19"/>
  <c r="AB101" i="19"/>
  <c r="AA101" i="19"/>
  <c r="Z101" i="19"/>
  <c r="Y101" i="19"/>
  <c r="X101" i="19"/>
  <c r="W101" i="19"/>
  <c r="V101" i="19"/>
  <c r="O100" i="19"/>
  <c r="AB99" i="19"/>
  <c r="AA99" i="19"/>
  <c r="Z99" i="19"/>
  <c r="Y99" i="19"/>
  <c r="X99" i="19"/>
  <c r="W99" i="19"/>
  <c r="V99" i="19"/>
  <c r="O99" i="19"/>
  <c r="O101" i="19" s="1"/>
  <c r="AC95" i="19"/>
  <c r="AB95" i="19"/>
  <c r="AA95" i="19"/>
  <c r="Z95" i="19"/>
  <c r="Y95" i="19"/>
  <c r="X95" i="19"/>
  <c r="W95" i="19"/>
  <c r="AC94" i="19"/>
  <c r="AB94" i="19"/>
  <c r="AA94" i="19"/>
  <c r="Z94" i="19"/>
  <c r="Y94" i="19"/>
  <c r="X94" i="19"/>
  <c r="AD94" i="19" s="1"/>
  <c r="W94" i="19"/>
  <c r="O94" i="19"/>
  <c r="AC93" i="19"/>
  <c r="AB93" i="19"/>
  <c r="AA93" i="19"/>
  <c r="Z93" i="19"/>
  <c r="Y93" i="19"/>
  <c r="X93" i="19"/>
  <c r="W93" i="19"/>
  <c r="O92" i="19"/>
  <c r="AC91" i="19"/>
  <c r="AB91" i="19"/>
  <c r="AA91" i="19"/>
  <c r="Z91" i="19"/>
  <c r="Y91" i="19"/>
  <c r="X91" i="19"/>
  <c r="W91" i="19"/>
  <c r="O91" i="19"/>
  <c r="AC87" i="19"/>
  <c r="AB87" i="19"/>
  <c r="AA87" i="19"/>
  <c r="Z87" i="19"/>
  <c r="Y87" i="19"/>
  <c r="X87" i="19"/>
  <c r="W87" i="19"/>
  <c r="AC86" i="19"/>
  <c r="AB86" i="19"/>
  <c r="AA86" i="19"/>
  <c r="Z86" i="19"/>
  <c r="Y86" i="19"/>
  <c r="X86" i="19"/>
  <c r="W86" i="19"/>
  <c r="AD86" i="19" s="1"/>
  <c r="O86" i="19"/>
  <c r="AC85" i="19"/>
  <c r="AB85" i="19"/>
  <c r="AA85" i="19"/>
  <c r="Z85" i="19"/>
  <c r="Y85" i="19"/>
  <c r="X85" i="19"/>
  <c r="W85" i="19"/>
  <c r="AD85" i="19" s="1"/>
  <c r="O84" i="19"/>
  <c r="AC83" i="19"/>
  <c r="AB83" i="19"/>
  <c r="AA83" i="19"/>
  <c r="Z83" i="19"/>
  <c r="Y83" i="19"/>
  <c r="X83" i="19"/>
  <c r="W83" i="19"/>
  <c r="O83" i="19"/>
  <c r="O85" i="19" s="1"/>
  <c r="AA79" i="19"/>
  <c r="Z79" i="19"/>
  <c r="Y79" i="19"/>
  <c r="X79" i="19"/>
  <c r="W79" i="19"/>
  <c r="V79" i="19"/>
  <c r="U79" i="19"/>
  <c r="AA78" i="19"/>
  <c r="Z78" i="19"/>
  <c r="Y78" i="19"/>
  <c r="X78" i="19"/>
  <c r="W78" i="19"/>
  <c r="V78" i="19"/>
  <c r="U78" i="19"/>
  <c r="O78" i="19"/>
  <c r="AA77" i="19"/>
  <c r="Z77" i="19"/>
  <c r="Y77" i="19"/>
  <c r="X77" i="19"/>
  <c r="W77" i="19"/>
  <c r="V77" i="19"/>
  <c r="U77" i="19"/>
  <c r="O76" i="19"/>
  <c r="O77" i="19" s="1"/>
  <c r="AA75" i="19"/>
  <c r="Z75" i="19"/>
  <c r="Y75" i="19"/>
  <c r="X75" i="19"/>
  <c r="W75" i="19"/>
  <c r="V75" i="19"/>
  <c r="U75" i="19"/>
  <c r="O75" i="19"/>
  <c r="AA71" i="19"/>
  <c r="Z71" i="19"/>
  <c r="Y71" i="19"/>
  <c r="X71" i="19"/>
  <c r="W71" i="19"/>
  <c r="V71" i="19"/>
  <c r="U71" i="19"/>
  <c r="AA70" i="19"/>
  <c r="Z70" i="19"/>
  <c r="Y70" i="19"/>
  <c r="X70" i="19"/>
  <c r="W70" i="19"/>
  <c r="V70" i="19"/>
  <c r="U70" i="19"/>
  <c r="O70" i="19"/>
  <c r="AA69" i="19"/>
  <c r="Z69" i="19"/>
  <c r="Y69" i="19"/>
  <c r="X69" i="19"/>
  <c r="W69" i="19"/>
  <c r="V69" i="19"/>
  <c r="U69" i="19"/>
  <c r="O68" i="19"/>
  <c r="AA67" i="19"/>
  <c r="Z67" i="19"/>
  <c r="Y67" i="19"/>
  <c r="X67" i="19"/>
  <c r="W67" i="19"/>
  <c r="AD67" i="19" s="1"/>
  <c r="V67" i="19"/>
  <c r="U67" i="19"/>
  <c r="O67" i="19"/>
  <c r="AB63" i="19"/>
  <c r="AA63" i="19"/>
  <c r="Z63" i="19"/>
  <c r="Y63" i="19"/>
  <c r="X63" i="19"/>
  <c r="W63" i="19"/>
  <c r="V63" i="19"/>
  <c r="AB62" i="19"/>
  <c r="AA62" i="19"/>
  <c r="Z62" i="19"/>
  <c r="Y62" i="19"/>
  <c r="X62" i="19"/>
  <c r="W62" i="19"/>
  <c r="V62" i="19"/>
  <c r="O62" i="19"/>
  <c r="AB61" i="19"/>
  <c r="AA61" i="19"/>
  <c r="Z61" i="19"/>
  <c r="Y61" i="19"/>
  <c r="X61" i="19"/>
  <c r="AD61" i="19" s="1"/>
  <c r="W61" i="19"/>
  <c r="V61" i="19"/>
  <c r="O60" i="19"/>
  <c r="AB59" i="19"/>
  <c r="AA59" i="19"/>
  <c r="Z59" i="19"/>
  <c r="Y59" i="19"/>
  <c r="X59" i="19"/>
  <c r="W59" i="19"/>
  <c r="V59" i="19"/>
  <c r="O59" i="19"/>
  <c r="O61" i="19" s="1"/>
  <c r="AA55" i="19"/>
  <c r="Z55" i="19"/>
  <c r="Y55" i="19"/>
  <c r="X55" i="19"/>
  <c r="AD55" i="19" s="1"/>
  <c r="W55" i="19"/>
  <c r="V55" i="19"/>
  <c r="U55" i="19"/>
  <c r="AA54" i="19"/>
  <c r="Z54" i="19"/>
  <c r="Y54" i="19"/>
  <c r="X54" i="19"/>
  <c r="W54" i="19"/>
  <c r="V54" i="19"/>
  <c r="U54" i="19"/>
  <c r="O54" i="19"/>
  <c r="AA53" i="19"/>
  <c r="Z53" i="19"/>
  <c r="Y53" i="19"/>
  <c r="X53" i="19"/>
  <c r="W53" i="19"/>
  <c r="V53" i="19"/>
  <c r="U53" i="19"/>
  <c r="O52" i="19"/>
  <c r="AA51" i="19"/>
  <c r="Z51" i="19"/>
  <c r="Y51" i="19"/>
  <c r="X51" i="19"/>
  <c r="W51" i="19"/>
  <c r="V51" i="19"/>
  <c r="U51" i="19"/>
  <c r="O51" i="19"/>
  <c r="AT47" i="19"/>
  <c r="AQ47" i="19"/>
  <c r="AP47" i="19"/>
  <c r="AN47" i="19"/>
  <c r="AM47" i="19"/>
  <c r="AO47" i="19" s="1"/>
  <c r="AA47" i="19"/>
  <c r="Z47" i="19"/>
  <c r="Y47" i="19"/>
  <c r="X47" i="19"/>
  <c r="W47" i="19"/>
  <c r="V47" i="19"/>
  <c r="U47" i="19"/>
  <c r="AT46" i="19"/>
  <c r="AQ46" i="19"/>
  <c r="AP46" i="19"/>
  <c r="AN46" i="19"/>
  <c r="AM46" i="19"/>
  <c r="AO46" i="19" s="1"/>
  <c r="AA46" i="19"/>
  <c r="Z46" i="19"/>
  <c r="Y46" i="19"/>
  <c r="X46" i="19"/>
  <c r="W46" i="19"/>
  <c r="V46" i="19"/>
  <c r="U46" i="19"/>
  <c r="O46" i="19"/>
  <c r="AT45" i="19"/>
  <c r="AQ45" i="19"/>
  <c r="AP45" i="19"/>
  <c r="AO45" i="19"/>
  <c r="AN45" i="19"/>
  <c r="AM45" i="19"/>
  <c r="AA45" i="19"/>
  <c r="Z45" i="19"/>
  <c r="Y45" i="19"/>
  <c r="X45" i="19"/>
  <c r="W45" i="19"/>
  <c r="V45" i="19"/>
  <c r="U45" i="19"/>
  <c r="AT44" i="19"/>
  <c r="AQ44" i="19"/>
  <c r="AP44" i="19"/>
  <c r="AN44" i="19"/>
  <c r="AM44" i="19"/>
  <c r="AO44" i="19" s="1"/>
  <c r="O44" i="19"/>
  <c r="AT43" i="19"/>
  <c r="AQ43" i="19"/>
  <c r="AP43" i="19"/>
  <c r="AO43" i="19"/>
  <c r="AN43" i="19"/>
  <c r="AM43" i="19"/>
  <c r="AA43" i="19"/>
  <c r="Z43" i="19"/>
  <c r="Y43" i="19"/>
  <c r="X43" i="19"/>
  <c r="W43" i="19"/>
  <c r="V43" i="19"/>
  <c r="U43" i="19"/>
  <c r="O43" i="19"/>
  <c r="AT42" i="19"/>
  <c r="AQ42" i="19"/>
  <c r="AP42" i="19"/>
  <c r="AN42" i="19"/>
  <c r="AM42" i="19"/>
  <c r="AO42" i="19" s="1"/>
  <c r="AT41" i="19"/>
  <c r="AQ41" i="19"/>
  <c r="AP41" i="19"/>
  <c r="AN41" i="19"/>
  <c r="AM41" i="19"/>
  <c r="AO41" i="19" s="1"/>
  <c r="AT40" i="19"/>
  <c r="AQ40" i="19"/>
  <c r="AP40" i="19"/>
  <c r="AN40" i="19"/>
  <c r="AM40" i="19"/>
  <c r="AO40" i="19" s="1"/>
  <c r="AT39" i="19"/>
  <c r="AQ39" i="19"/>
  <c r="AP39" i="19"/>
  <c r="AN39" i="19"/>
  <c r="AM39" i="19"/>
  <c r="AO39" i="19" s="1"/>
  <c r="AB39" i="19"/>
  <c r="AA39" i="19"/>
  <c r="Z39" i="19"/>
  <c r="Y39" i="19"/>
  <c r="X39" i="19"/>
  <c r="W39" i="19"/>
  <c r="V39" i="19"/>
  <c r="AT38" i="19"/>
  <c r="AQ38" i="19"/>
  <c r="AP38" i="19"/>
  <c r="AN38" i="19"/>
  <c r="AM38" i="19"/>
  <c r="AO38" i="19" s="1"/>
  <c r="AB38" i="19"/>
  <c r="AA38" i="19"/>
  <c r="Z38" i="19"/>
  <c r="Y38" i="19"/>
  <c r="X38" i="19"/>
  <c r="W38" i="19"/>
  <c r="V38" i="19"/>
  <c r="O38" i="19"/>
  <c r="AT37" i="19"/>
  <c r="AQ37" i="19"/>
  <c r="AP37" i="19"/>
  <c r="AN37" i="19"/>
  <c r="AM37" i="19"/>
  <c r="AO37" i="19" s="1"/>
  <c r="AB37" i="19"/>
  <c r="AA37" i="19"/>
  <c r="Z37" i="19"/>
  <c r="Y37" i="19"/>
  <c r="X37" i="19"/>
  <c r="W37" i="19"/>
  <c r="V37" i="19"/>
  <c r="AT36" i="19"/>
  <c r="AQ36" i="19"/>
  <c r="AP36" i="19"/>
  <c r="AN36" i="19"/>
  <c r="AM36" i="19"/>
  <c r="AO36" i="19" s="1"/>
  <c r="O36" i="19"/>
  <c r="AT35" i="19"/>
  <c r="AQ35" i="19"/>
  <c r="AP35" i="19"/>
  <c r="AN35" i="19"/>
  <c r="AM35" i="19"/>
  <c r="AO35" i="19" s="1"/>
  <c r="AB35" i="19"/>
  <c r="AA35" i="19"/>
  <c r="Z35" i="19"/>
  <c r="Y35" i="19"/>
  <c r="X35" i="19"/>
  <c r="W35" i="19"/>
  <c r="V35" i="19"/>
  <c r="O35" i="19"/>
  <c r="O37" i="19" s="1"/>
  <c r="AT34" i="19"/>
  <c r="AQ34" i="19"/>
  <c r="AP34" i="19"/>
  <c r="AO34" i="19"/>
  <c r="AN34" i="19"/>
  <c r="AM34" i="19"/>
  <c r="AT33" i="19"/>
  <c r="AQ33" i="19"/>
  <c r="AP33" i="19"/>
  <c r="AN33" i="19"/>
  <c r="AM33" i="19"/>
  <c r="AO33" i="19" s="1"/>
  <c r="AT32" i="19"/>
  <c r="AQ32" i="19"/>
  <c r="AP32" i="19"/>
  <c r="AN32" i="19"/>
  <c r="AM32" i="19"/>
  <c r="AO32" i="19" s="1"/>
  <c r="AT31" i="19"/>
  <c r="AQ31" i="19"/>
  <c r="AP31" i="19"/>
  <c r="AO31" i="19"/>
  <c r="AN31" i="19"/>
  <c r="AM31" i="19"/>
  <c r="AB31" i="19"/>
  <c r="AA31" i="19"/>
  <c r="Z31" i="19"/>
  <c r="Y31" i="19"/>
  <c r="X31" i="19"/>
  <c r="W31" i="19"/>
  <c r="V31" i="19"/>
  <c r="AT30" i="19"/>
  <c r="AQ30" i="19"/>
  <c r="AP30" i="19"/>
  <c r="AN30" i="19"/>
  <c r="AM30" i="19"/>
  <c r="AO30" i="19" s="1"/>
  <c r="AB30" i="19"/>
  <c r="AA30" i="19"/>
  <c r="Z30" i="19"/>
  <c r="Y30" i="19"/>
  <c r="X30" i="19"/>
  <c r="W30" i="19"/>
  <c r="V30" i="19"/>
  <c r="O30" i="19"/>
  <c r="AT29" i="19"/>
  <c r="AQ29" i="19"/>
  <c r="AP29" i="19"/>
  <c r="AN29" i="19"/>
  <c r="AM29" i="19"/>
  <c r="AO29" i="19" s="1"/>
  <c r="AB29" i="19"/>
  <c r="AA29" i="19"/>
  <c r="Z29" i="19"/>
  <c r="Y29" i="19"/>
  <c r="X29" i="19"/>
  <c r="W29" i="19"/>
  <c r="V29" i="19"/>
  <c r="AT28" i="19"/>
  <c r="AQ28" i="19"/>
  <c r="AP28" i="19"/>
  <c r="AN28" i="19"/>
  <c r="AM28" i="19"/>
  <c r="AO28" i="19" s="1"/>
  <c r="O28" i="19"/>
  <c r="AT27" i="19"/>
  <c r="AQ27" i="19"/>
  <c r="AP27" i="19"/>
  <c r="AN27" i="19"/>
  <c r="AM27" i="19"/>
  <c r="AO27" i="19" s="1"/>
  <c r="AB27" i="19"/>
  <c r="AA27" i="19"/>
  <c r="Z27" i="19"/>
  <c r="Y27" i="19"/>
  <c r="X27" i="19"/>
  <c r="W27" i="19"/>
  <c r="V27" i="19"/>
  <c r="O27" i="19"/>
  <c r="AT26" i="19"/>
  <c r="AQ26" i="19"/>
  <c r="AP26" i="19"/>
  <c r="AN26" i="19"/>
  <c r="AM26" i="19"/>
  <c r="AO26" i="19" s="1"/>
  <c r="AT25" i="19"/>
  <c r="AQ25" i="19"/>
  <c r="AP25" i="19"/>
  <c r="AN25" i="19"/>
  <c r="AM25" i="19"/>
  <c r="AO25" i="19" s="1"/>
  <c r="AT24" i="19"/>
  <c r="AQ24" i="19"/>
  <c r="AP24" i="19"/>
  <c r="AN24" i="19"/>
  <c r="AM24" i="19"/>
  <c r="AO24" i="19" s="1"/>
  <c r="AT23" i="19"/>
  <c r="AQ23" i="19"/>
  <c r="AP23" i="19"/>
  <c r="AN23" i="19"/>
  <c r="AM23" i="19"/>
  <c r="AO23" i="19" s="1"/>
  <c r="AB23" i="19"/>
  <c r="AA23" i="19"/>
  <c r="Z23" i="19"/>
  <c r="Y23" i="19"/>
  <c r="X23" i="19"/>
  <c r="W23" i="19"/>
  <c r="V23" i="19"/>
  <c r="AT22" i="19"/>
  <c r="AQ22" i="19"/>
  <c r="AP22" i="19"/>
  <c r="AO22" i="19"/>
  <c r="AN22" i="19"/>
  <c r="AM22" i="19"/>
  <c r="AB22" i="19"/>
  <c r="AA22" i="19"/>
  <c r="Z22" i="19"/>
  <c r="Y22" i="19"/>
  <c r="X22" i="19"/>
  <c r="W22" i="19"/>
  <c r="V22" i="19"/>
  <c r="O22" i="19"/>
  <c r="AT21" i="19"/>
  <c r="AQ21" i="19"/>
  <c r="AP21" i="19"/>
  <c r="AN21" i="19"/>
  <c r="AM21" i="19"/>
  <c r="AO21" i="19" s="1"/>
  <c r="AB21" i="19"/>
  <c r="AA21" i="19"/>
  <c r="Z21" i="19"/>
  <c r="Y21" i="19"/>
  <c r="X21" i="19"/>
  <c r="W21" i="19"/>
  <c r="V21" i="19"/>
  <c r="AT20" i="19"/>
  <c r="AQ20" i="19"/>
  <c r="AP20" i="19"/>
  <c r="AN20" i="19"/>
  <c r="AM20" i="19"/>
  <c r="AO20" i="19" s="1"/>
  <c r="O20" i="19"/>
  <c r="AT19" i="19"/>
  <c r="AQ19" i="19"/>
  <c r="AP19" i="19"/>
  <c r="AO19" i="19"/>
  <c r="AN19" i="19"/>
  <c r="AM19" i="19"/>
  <c r="AB19" i="19"/>
  <c r="AA19" i="19"/>
  <c r="Z19" i="19"/>
  <c r="Y19" i="19"/>
  <c r="X19" i="19"/>
  <c r="W19" i="19"/>
  <c r="V19" i="19"/>
  <c r="O19" i="19"/>
  <c r="AT18" i="19"/>
  <c r="AQ18" i="19"/>
  <c r="AP18" i="19"/>
  <c r="AN18" i="19"/>
  <c r="AM18" i="19"/>
  <c r="AO18" i="19" s="1"/>
  <c r="AT17" i="19"/>
  <c r="AQ17" i="19"/>
  <c r="AP17" i="19"/>
  <c r="AN17" i="19"/>
  <c r="AM17" i="19"/>
  <c r="AO17" i="19" s="1"/>
  <c r="AT16" i="19"/>
  <c r="AQ16" i="19"/>
  <c r="AP16" i="19"/>
  <c r="AN16" i="19"/>
  <c r="AM16" i="19"/>
  <c r="AO16" i="19" s="1"/>
  <c r="AT15" i="19"/>
  <c r="AQ15" i="19"/>
  <c r="AP15" i="19"/>
  <c r="AN15" i="19"/>
  <c r="AM15" i="19"/>
  <c r="AO15" i="19" s="1"/>
  <c r="AB15" i="19"/>
  <c r="AA15" i="19"/>
  <c r="Z15" i="19"/>
  <c r="Y15" i="19"/>
  <c r="X15" i="19"/>
  <c r="W15" i="19"/>
  <c r="V15" i="19"/>
  <c r="AT14" i="19"/>
  <c r="AQ14" i="19"/>
  <c r="AP14" i="19"/>
  <c r="AN14" i="19"/>
  <c r="AM14" i="19"/>
  <c r="AO14" i="19" s="1"/>
  <c r="AB14" i="19"/>
  <c r="AA14" i="19"/>
  <c r="Z14" i="19"/>
  <c r="Y14" i="19"/>
  <c r="X14" i="19"/>
  <c r="W14" i="19"/>
  <c r="V14" i="19"/>
  <c r="O14" i="19"/>
  <c r="AT13" i="19"/>
  <c r="AQ13" i="19"/>
  <c r="AP13" i="19"/>
  <c r="AN13" i="19"/>
  <c r="AM13" i="19"/>
  <c r="AO13" i="19" s="1"/>
  <c r="AB13" i="19"/>
  <c r="AA13" i="19"/>
  <c r="Z13" i="19"/>
  <c r="Y13" i="19"/>
  <c r="X13" i="19"/>
  <c r="W13" i="19"/>
  <c r="V13" i="19"/>
  <c r="AT12" i="19"/>
  <c r="AQ12" i="19"/>
  <c r="AP12" i="19"/>
  <c r="AN12" i="19"/>
  <c r="AM12" i="19"/>
  <c r="AO12" i="19" s="1"/>
  <c r="O12" i="19"/>
  <c r="AT11" i="19"/>
  <c r="AQ11" i="19"/>
  <c r="AP11" i="19"/>
  <c r="AN11" i="19"/>
  <c r="AM11" i="19"/>
  <c r="AO11" i="19" s="1"/>
  <c r="AB11" i="19"/>
  <c r="AA11" i="19"/>
  <c r="Z11" i="19"/>
  <c r="Y11" i="19"/>
  <c r="X11" i="19"/>
  <c r="W11" i="19"/>
  <c r="V11" i="19"/>
  <c r="O11" i="19"/>
  <c r="AT10" i="19"/>
  <c r="AQ10" i="19"/>
  <c r="AP10" i="19"/>
  <c r="AN10" i="19"/>
  <c r="AM10" i="19"/>
  <c r="AO10" i="19" s="1"/>
  <c r="AT9" i="19"/>
  <c r="AQ9" i="19"/>
  <c r="AP9" i="19"/>
  <c r="AN9" i="19"/>
  <c r="AM9" i="19"/>
  <c r="AO9" i="19" s="1"/>
  <c r="AT8" i="19"/>
  <c r="AQ8" i="19"/>
  <c r="AP8" i="19"/>
  <c r="AN8" i="19"/>
  <c r="AM8" i="19"/>
  <c r="AO8" i="19" s="1"/>
  <c r="AT7" i="19"/>
  <c r="AQ7" i="19"/>
  <c r="AP7" i="19"/>
  <c r="AN7" i="19"/>
  <c r="AM7" i="19"/>
  <c r="AO7" i="19" s="1"/>
  <c r="AB7" i="19"/>
  <c r="AA7" i="19"/>
  <c r="Z7" i="19"/>
  <c r="Y7" i="19"/>
  <c r="X7" i="19"/>
  <c r="W7" i="19"/>
  <c r="V7" i="19"/>
  <c r="AT6" i="19"/>
  <c r="AQ6" i="19"/>
  <c r="AP6" i="19"/>
  <c r="AO6" i="19"/>
  <c r="AN6" i="19"/>
  <c r="AM6" i="19"/>
  <c r="AB6" i="19"/>
  <c r="AA6" i="19"/>
  <c r="Z6" i="19"/>
  <c r="Y6" i="19"/>
  <c r="X6" i="19"/>
  <c r="W6" i="19"/>
  <c r="V6" i="19"/>
  <c r="O6" i="19"/>
  <c r="AT5" i="19"/>
  <c r="AQ5" i="19"/>
  <c r="AP5" i="19"/>
  <c r="AN5" i="19"/>
  <c r="AM5" i="19"/>
  <c r="AO5" i="19" s="1"/>
  <c r="AB5" i="19"/>
  <c r="AA5" i="19"/>
  <c r="Z5" i="19"/>
  <c r="Y5" i="19"/>
  <c r="X5" i="19"/>
  <c r="W5" i="19"/>
  <c r="V5" i="19"/>
  <c r="AT4" i="19"/>
  <c r="AQ4" i="19"/>
  <c r="AP4" i="19"/>
  <c r="AN4" i="19"/>
  <c r="AM4" i="19"/>
  <c r="AO4" i="19" s="1"/>
  <c r="O4" i="19"/>
  <c r="AT3" i="19"/>
  <c r="AQ3" i="19"/>
  <c r="AP3" i="19"/>
  <c r="AO3" i="19"/>
  <c r="AN3" i="19"/>
  <c r="AM3" i="19"/>
  <c r="AB3" i="19"/>
  <c r="AA3" i="19"/>
  <c r="Z3" i="19"/>
  <c r="Y3" i="19"/>
  <c r="X3" i="19"/>
  <c r="W3" i="19"/>
  <c r="V3" i="19"/>
  <c r="O3" i="19"/>
  <c r="AT2" i="19"/>
  <c r="AQ2" i="19"/>
  <c r="AP2" i="19"/>
  <c r="AN2" i="19"/>
  <c r="AM2" i="19"/>
  <c r="AO2" i="19" s="1"/>
  <c r="O141" i="19" l="1"/>
  <c r="AD149" i="19"/>
  <c r="AD153" i="19" s="1"/>
  <c r="AD150" i="19"/>
  <c r="AD175" i="19"/>
  <c r="AD190" i="19"/>
  <c r="AD195" i="19"/>
  <c r="AD199" i="19"/>
  <c r="AD205" i="19"/>
  <c r="AD209" i="19" s="1"/>
  <c r="AD213" i="19"/>
  <c r="AD214" i="19"/>
  <c r="AD238" i="19"/>
  <c r="AD243" i="19"/>
  <c r="AD247" i="19"/>
  <c r="AD253" i="19"/>
  <c r="AD261" i="19"/>
  <c r="AD262" i="19"/>
  <c r="AD307" i="19"/>
  <c r="AD311" i="19"/>
  <c r="AD317" i="19"/>
  <c r="AD325" i="19"/>
  <c r="AD326" i="19"/>
  <c r="AD341" i="19"/>
  <c r="AD351" i="19"/>
  <c r="AD366" i="19"/>
  <c r="AD368" i="19" s="1"/>
  <c r="O53" i="19"/>
  <c r="AD135" i="19"/>
  <c r="AD139" i="19"/>
  <c r="AD174" i="19"/>
  <c r="AD179" i="19"/>
  <c r="AD183" i="19"/>
  <c r="AD187" i="19"/>
  <c r="AD189" i="19"/>
  <c r="AD193" i="19" s="1"/>
  <c r="AD198" i="19"/>
  <c r="AD286" i="19"/>
  <c r="AD291" i="19"/>
  <c r="AD295" i="19"/>
  <c r="AD297" i="19" s="1"/>
  <c r="AD299" i="19"/>
  <c r="AD301" i="19"/>
  <c r="AD310" i="19"/>
  <c r="AD335" i="19"/>
  <c r="AD355" i="19"/>
  <c r="AD359" i="19"/>
  <c r="AD363" i="19"/>
  <c r="AD51" i="19"/>
  <c r="AD59" i="19"/>
  <c r="O69" i="19"/>
  <c r="AD71" i="19"/>
  <c r="AD75" i="19"/>
  <c r="AD93" i="19"/>
  <c r="O133" i="19"/>
  <c r="AD70" i="19"/>
  <c r="AD78" i="19"/>
  <c r="AD83" i="19"/>
  <c r="O93" i="19"/>
  <c r="AD101" i="19"/>
  <c r="AD109" i="19"/>
  <c r="AD113" i="19" s="1"/>
  <c r="AD134" i="19"/>
  <c r="AD142" i="19"/>
  <c r="AD158" i="19"/>
  <c r="AD163" i="19"/>
  <c r="AD167" i="19"/>
  <c r="AD173" i="19"/>
  <c r="AD176" i="19" s="1"/>
  <c r="AD181" i="19"/>
  <c r="AD182" i="19"/>
  <c r="AD184" i="19" s="1"/>
  <c r="AD207" i="19"/>
  <c r="AD222" i="19"/>
  <c r="AD227" i="19"/>
  <c r="AD231" i="19"/>
  <c r="O237" i="19"/>
  <c r="AD255" i="19"/>
  <c r="AD270" i="19"/>
  <c r="AD275" i="19"/>
  <c r="AD279" i="19"/>
  <c r="AD285" i="19"/>
  <c r="AD293" i="19"/>
  <c r="AD294" i="19"/>
  <c r="AD296" i="19" s="1"/>
  <c r="AD349" i="19"/>
  <c r="AD357" i="19"/>
  <c r="AD358" i="19"/>
  <c r="AD99" i="19"/>
  <c r="AD103" i="19"/>
  <c r="O117" i="19"/>
  <c r="AD115" i="19"/>
  <c r="AD118" i="19"/>
  <c r="AD123" i="19"/>
  <c r="AD54" i="19"/>
  <c r="AD77" i="19"/>
  <c r="AD87" i="19"/>
  <c r="AD95" i="19"/>
  <c r="AD111" i="19"/>
  <c r="AD151" i="19"/>
  <c r="AD155" i="19"/>
  <c r="AD157" i="19"/>
  <c r="AD166" i="19"/>
  <c r="AD211" i="19"/>
  <c r="AD215" i="19"/>
  <c r="AD219" i="19"/>
  <c r="AD221" i="19"/>
  <c r="AD230" i="19"/>
  <c r="AD254" i="19"/>
  <c r="AD256" i="19" s="1"/>
  <c r="AD259" i="19"/>
  <c r="AD263" i="19"/>
  <c r="AD267" i="19"/>
  <c r="AD269" i="19"/>
  <c r="AD273" i="19" s="1"/>
  <c r="AD278" i="19"/>
  <c r="AD303" i="19"/>
  <c r="AD305" i="19" s="1"/>
  <c r="AD318" i="19"/>
  <c r="AD323" i="19"/>
  <c r="AD327" i="19"/>
  <c r="AD331" i="19"/>
  <c r="AD333" i="19"/>
  <c r="O13" i="19"/>
  <c r="AD7" i="19"/>
  <c r="AD37" i="19"/>
  <c r="AD35" i="19"/>
  <c r="AD14" i="19"/>
  <c r="AD15" i="19"/>
  <c r="O29" i="19"/>
  <c r="AD13" i="19"/>
  <c r="AD27" i="19"/>
  <c r="AD11" i="19"/>
  <c r="O21" i="19"/>
  <c r="AD19" i="19"/>
  <c r="AD21" i="19"/>
  <c r="AD38" i="19"/>
  <c r="AD43" i="19"/>
  <c r="O5" i="19"/>
  <c r="AD3" i="19"/>
  <c r="AD5" i="19"/>
  <c r="AD9" i="19" s="1"/>
  <c r="AD22" i="19"/>
  <c r="AD30" i="19"/>
  <c r="AD31" i="19"/>
  <c r="AD39" i="19"/>
  <c r="AD47" i="19"/>
  <c r="AD6" i="19"/>
  <c r="AD23" i="19"/>
  <c r="AD29" i="19"/>
  <c r="AD46" i="19"/>
  <c r="AD208" i="19"/>
  <c r="AD257" i="19"/>
  <c r="AD321" i="19"/>
  <c r="AD320" i="19"/>
  <c r="AD345" i="19"/>
  <c r="AD344" i="19"/>
  <c r="AD96" i="19"/>
  <c r="AD97" i="19"/>
  <c r="AD304" i="19"/>
  <c r="AD177" i="19"/>
  <c r="AD289" i="19"/>
  <c r="AD288" i="19"/>
  <c r="AD353" i="19"/>
  <c r="AD352" i="19"/>
  <c r="AD80" i="19"/>
  <c r="AD144" i="19"/>
  <c r="AD161" i="19"/>
  <c r="AD160" i="19"/>
  <c r="AD225" i="19"/>
  <c r="AD224" i="19"/>
  <c r="AD337" i="19"/>
  <c r="AD336" i="19"/>
  <c r="O45" i="19"/>
  <c r="AD105" i="19"/>
  <c r="AD104" i="19"/>
  <c r="AD239" i="19"/>
  <c r="AD265" i="19"/>
  <c r="AD329" i="19"/>
  <c r="AD361" i="19"/>
  <c r="AD369" i="19"/>
  <c r="AD89" i="19"/>
  <c r="AD45" i="19"/>
  <c r="AD53" i="19"/>
  <c r="AD63" i="19"/>
  <c r="AD91" i="19"/>
  <c r="AD110" i="19"/>
  <c r="AD117" i="19"/>
  <c r="AD127" i="19"/>
  <c r="AD152" i="19"/>
  <c r="AD165" i="19"/>
  <c r="AD171" i="19"/>
  <c r="AD197" i="19"/>
  <c r="AD203" i="19"/>
  <c r="AD216" i="19"/>
  <c r="AD229" i="19"/>
  <c r="AD235" i="19"/>
  <c r="AD339" i="19"/>
  <c r="AD65" i="19"/>
  <c r="AD88" i="19"/>
  <c r="AD128" i="19"/>
  <c r="AD129" i="19"/>
  <c r="AD62" i="19"/>
  <c r="AD64" i="19" s="1"/>
  <c r="AD69" i="19"/>
  <c r="AD79" i="19"/>
  <c r="AD81" i="19" s="1"/>
  <c r="AD107" i="19"/>
  <c r="AD126" i="19"/>
  <c r="AD133" i="19"/>
  <c r="AD143" i="19"/>
  <c r="AD145" i="19" s="1"/>
  <c r="AD237" i="19"/>
  <c r="AD245" i="19"/>
  <c r="AD251" i="19"/>
  <c r="AD264" i="19"/>
  <c r="AD277" i="19"/>
  <c r="AD283" i="19"/>
  <c r="AD309" i="19"/>
  <c r="AD315" i="19"/>
  <c r="AD328" i="19"/>
  <c r="AD347" i="19"/>
  <c r="AD360" i="19"/>
  <c r="AD272" i="19" l="1"/>
  <c r="AD16" i="19"/>
  <c r="AD185" i="19"/>
  <c r="AD192" i="19"/>
  <c r="AD112" i="19"/>
  <c r="AD217" i="19"/>
  <c r="AD32" i="19"/>
  <c r="AD8" i="19"/>
  <c r="AD17" i="19"/>
  <c r="AD41" i="19"/>
  <c r="AD40" i="19"/>
  <c r="AD33" i="19"/>
  <c r="AD24" i="19"/>
  <c r="AD25" i="19"/>
  <c r="AD201" i="19"/>
  <c r="AD200" i="19"/>
  <c r="AD313" i="19"/>
  <c r="AD312" i="19"/>
  <c r="AD137" i="19"/>
  <c r="AD136" i="19"/>
  <c r="AD73" i="19"/>
  <c r="AD72" i="19"/>
  <c r="AD233" i="19"/>
  <c r="AD232" i="19"/>
  <c r="AD249" i="19"/>
  <c r="AD248" i="19"/>
  <c r="AD121" i="19"/>
  <c r="AD120" i="19"/>
  <c r="AD57" i="19"/>
  <c r="AD56" i="19"/>
  <c r="AD281" i="19"/>
  <c r="AD280" i="19"/>
  <c r="AD241" i="19"/>
  <c r="AD240" i="19"/>
  <c r="AD169" i="19"/>
  <c r="AD168" i="19"/>
  <c r="AD48" i="19"/>
  <c r="AD49" i="19"/>
  <c r="AS3" i="17" l="1"/>
  <c r="AS4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S19" i="17"/>
  <c r="AS20" i="17"/>
  <c r="AS21" i="17"/>
  <c r="AS22" i="17"/>
  <c r="AS23" i="17"/>
  <c r="AS24" i="17"/>
  <c r="AS25" i="17"/>
  <c r="AS26" i="17"/>
  <c r="AS27" i="17"/>
  <c r="AS28" i="17"/>
  <c r="AS29" i="17"/>
  <c r="AS30" i="17"/>
  <c r="AS31" i="17"/>
  <c r="AS32" i="17"/>
  <c r="AS33" i="17"/>
  <c r="AS34" i="17"/>
  <c r="AS35" i="17"/>
  <c r="AS36" i="17"/>
  <c r="AS37" i="17"/>
  <c r="AS38" i="17"/>
  <c r="AS39" i="17"/>
  <c r="AS40" i="17"/>
  <c r="AS41" i="17"/>
  <c r="AS42" i="17"/>
  <c r="AS43" i="17"/>
  <c r="AS44" i="17"/>
  <c r="AS45" i="17"/>
  <c r="AS46" i="17"/>
  <c r="AS47" i="17"/>
  <c r="AS48" i="17"/>
  <c r="AR3" i="17" l="1"/>
  <c r="AT3" i="17"/>
  <c r="AU3" i="17"/>
  <c r="AX3" i="17"/>
  <c r="AR4" i="17"/>
  <c r="AT4" i="17"/>
  <c r="AU4" i="17"/>
  <c r="AX4" i="17"/>
  <c r="AR5" i="17"/>
  <c r="AT5" i="17"/>
  <c r="AU5" i="17"/>
  <c r="AX5" i="17"/>
  <c r="AR6" i="17"/>
  <c r="AT6" i="17"/>
  <c r="AU6" i="17"/>
  <c r="AX6" i="17"/>
  <c r="AR7" i="17"/>
  <c r="AT7" i="17"/>
  <c r="AU7" i="17"/>
  <c r="AX7" i="17"/>
  <c r="AR8" i="17"/>
  <c r="AT8" i="17"/>
  <c r="AU8" i="17"/>
  <c r="AX8" i="17"/>
  <c r="AR9" i="17"/>
  <c r="AT9" i="17"/>
  <c r="AU9" i="17"/>
  <c r="AX9" i="17"/>
  <c r="AR10" i="17"/>
  <c r="AT10" i="17"/>
  <c r="AU10" i="17"/>
  <c r="AX10" i="17"/>
  <c r="AR11" i="17"/>
  <c r="AT11" i="17"/>
  <c r="AU11" i="17"/>
  <c r="AX11" i="17"/>
  <c r="AR12" i="17"/>
  <c r="AT12" i="17"/>
  <c r="AU12" i="17"/>
  <c r="AX12" i="17"/>
  <c r="AR13" i="17"/>
  <c r="AT13" i="17"/>
  <c r="AU13" i="17"/>
  <c r="AX13" i="17"/>
  <c r="AR14" i="17"/>
  <c r="AT14" i="17"/>
  <c r="AU14" i="17"/>
  <c r="AX14" i="17"/>
  <c r="AR15" i="17"/>
  <c r="AT15" i="17"/>
  <c r="AU15" i="17"/>
  <c r="AX15" i="17"/>
  <c r="AR16" i="17"/>
  <c r="AT16" i="17"/>
  <c r="AU16" i="17"/>
  <c r="AX16" i="17"/>
  <c r="AR17" i="17"/>
  <c r="AT17" i="17"/>
  <c r="AU17" i="17"/>
  <c r="AX17" i="17"/>
  <c r="AR18" i="17"/>
  <c r="AT18" i="17"/>
  <c r="AU18" i="17"/>
  <c r="AX18" i="17"/>
  <c r="AR19" i="17"/>
  <c r="AT19" i="17"/>
  <c r="AU19" i="17"/>
  <c r="AX19" i="17"/>
  <c r="AR20" i="17"/>
  <c r="AT20" i="17"/>
  <c r="AU20" i="17"/>
  <c r="AX20" i="17"/>
  <c r="AR21" i="17"/>
  <c r="AT21" i="17"/>
  <c r="AU21" i="17"/>
  <c r="AX21" i="17"/>
  <c r="AR22" i="17"/>
  <c r="AT22" i="17"/>
  <c r="AU22" i="17"/>
  <c r="AX22" i="17"/>
  <c r="AR23" i="17"/>
  <c r="AT23" i="17"/>
  <c r="AU23" i="17"/>
  <c r="AX23" i="17"/>
  <c r="AR24" i="17"/>
  <c r="AT24" i="17"/>
  <c r="AU24" i="17"/>
  <c r="AX24" i="17"/>
  <c r="AR25" i="17"/>
  <c r="AT25" i="17"/>
  <c r="AU25" i="17"/>
  <c r="AX25" i="17"/>
  <c r="AR26" i="17"/>
  <c r="AT26" i="17"/>
  <c r="AU26" i="17"/>
  <c r="AX26" i="17"/>
  <c r="AR27" i="17"/>
  <c r="AT27" i="17"/>
  <c r="AU27" i="17"/>
  <c r="AX27" i="17"/>
  <c r="AR28" i="17"/>
  <c r="AT28" i="17"/>
  <c r="AU28" i="17"/>
  <c r="AX28" i="17"/>
  <c r="AR29" i="17"/>
  <c r="AT29" i="17"/>
  <c r="AU29" i="17"/>
  <c r="AX29" i="17"/>
  <c r="AR30" i="17"/>
  <c r="AT30" i="17"/>
  <c r="AU30" i="17"/>
  <c r="AX30" i="17"/>
  <c r="AR31" i="17"/>
  <c r="AT31" i="17"/>
  <c r="AU31" i="17"/>
  <c r="AX31" i="17"/>
  <c r="AR32" i="17"/>
  <c r="AT32" i="17"/>
  <c r="AU32" i="17"/>
  <c r="AX32" i="17"/>
  <c r="AR33" i="17"/>
  <c r="AT33" i="17"/>
  <c r="AU33" i="17"/>
  <c r="AX33" i="17"/>
  <c r="AR34" i="17"/>
  <c r="AT34" i="17"/>
  <c r="AU34" i="17"/>
  <c r="AX34" i="17"/>
  <c r="AR35" i="17"/>
  <c r="AT35" i="17"/>
  <c r="AU35" i="17"/>
  <c r="AX35" i="17"/>
  <c r="AR36" i="17"/>
  <c r="AT36" i="17"/>
  <c r="AU36" i="17"/>
  <c r="AX36" i="17"/>
  <c r="AR37" i="17"/>
  <c r="AT37" i="17"/>
  <c r="AU37" i="17"/>
  <c r="AX37" i="17"/>
  <c r="AR38" i="17"/>
  <c r="AT38" i="17"/>
  <c r="AU38" i="17"/>
  <c r="AX38" i="17"/>
  <c r="AR39" i="17"/>
  <c r="AT39" i="17"/>
  <c r="AU39" i="17"/>
  <c r="AX39" i="17"/>
  <c r="AR40" i="17"/>
  <c r="AT40" i="17"/>
  <c r="AU40" i="17"/>
  <c r="AX40" i="17"/>
  <c r="AR41" i="17"/>
  <c r="AT41" i="17"/>
  <c r="AU41" i="17"/>
  <c r="AX41" i="17"/>
  <c r="AR42" i="17"/>
  <c r="AT42" i="17"/>
  <c r="AU42" i="17"/>
  <c r="AX42" i="17"/>
  <c r="AR43" i="17"/>
  <c r="AT43" i="17"/>
  <c r="AU43" i="17"/>
  <c r="AX43" i="17"/>
  <c r="AR44" i="17"/>
  <c r="AT44" i="17"/>
  <c r="AU44" i="17"/>
  <c r="AX44" i="17"/>
  <c r="AR45" i="17"/>
  <c r="AT45" i="17"/>
  <c r="AU45" i="17"/>
  <c r="AX45" i="17"/>
  <c r="AR46" i="17"/>
  <c r="AT46" i="17"/>
  <c r="AU46" i="17"/>
  <c r="AX46" i="17"/>
  <c r="AR47" i="17"/>
  <c r="AT47" i="17"/>
  <c r="AU47" i="17"/>
  <c r="AX47" i="17"/>
  <c r="AR48" i="17"/>
  <c r="AT48" i="17"/>
  <c r="AU48" i="17"/>
  <c r="AX48" i="17"/>
  <c r="AI367" i="17"/>
  <c r="AH367" i="17"/>
  <c r="AG367" i="17"/>
  <c r="AF367" i="17"/>
  <c r="AE367" i="17"/>
  <c r="AD367" i="17"/>
  <c r="AC367" i="17"/>
  <c r="AB367" i="17"/>
  <c r="AA367" i="17"/>
  <c r="Z367" i="17"/>
  <c r="Y367" i="17"/>
  <c r="X367" i="17"/>
  <c r="W367" i="17"/>
  <c r="V367" i="17"/>
  <c r="AI366" i="17"/>
  <c r="AH366" i="17"/>
  <c r="AG366" i="17"/>
  <c r="AF366" i="17"/>
  <c r="AE366" i="17"/>
  <c r="AD366" i="17"/>
  <c r="AC366" i="17"/>
  <c r="AB366" i="17"/>
  <c r="AA366" i="17"/>
  <c r="Z366" i="17"/>
  <c r="Y366" i="17"/>
  <c r="X366" i="17"/>
  <c r="W366" i="17"/>
  <c r="V366" i="17"/>
  <c r="Q366" i="17"/>
  <c r="AI365" i="17"/>
  <c r="AH365" i="17"/>
  <c r="AG365" i="17"/>
  <c r="AF365" i="17"/>
  <c r="AE365" i="17"/>
  <c r="AD365" i="17"/>
  <c r="AC365" i="17"/>
  <c r="AB365" i="17"/>
  <c r="AA365" i="17"/>
  <c r="Z365" i="17"/>
  <c r="Y365" i="17"/>
  <c r="X365" i="17"/>
  <c r="W365" i="17"/>
  <c r="V365" i="17"/>
  <c r="Q364" i="17"/>
  <c r="AI363" i="17"/>
  <c r="AH363" i="17"/>
  <c r="AG363" i="17"/>
  <c r="AF363" i="17"/>
  <c r="AE363" i="17"/>
  <c r="AD363" i="17"/>
  <c r="AC363" i="17"/>
  <c r="AB363" i="17"/>
  <c r="AA363" i="17"/>
  <c r="Z363" i="17"/>
  <c r="Y363" i="17"/>
  <c r="X363" i="17"/>
  <c r="W363" i="17"/>
  <c r="V363" i="17"/>
  <c r="Q363" i="17"/>
  <c r="AI359" i="17"/>
  <c r="AH359" i="17"/>
  <c r="AG359" i="17"/>
  <c r="AF359" i="17"/>
  <c r="AE359" i="17"/>
  <c r="AD359" i="17"/>
  <c r="AC359" i="17"/>
  <c r="AB359" i="17"/>
  <c r="AA359" i="17"/>
  <c r="Z359" i="17"/>
  <c r="Y359" i="17"/>
  <c r="X359" i="17"/>
  <c r="W359" i="17"/>
  <c r="V359" i="17"/>
  <c r="AI358" i="17"/>
  <c r="AH358" i="17"/>
  <c r="AG358" i="17"/>
  <c r="AF358" i="17"/>
  <c r="AE358" i="17"/>
  <c r="AD358" i="17"/>
  <c r="AC358" i="17"/>
  <c r="AB358" i="17"/>
  <c r="AA358" i="17"/>
  <c r="Z358" i="17"/>
  <c r="Y358" i="17"/>
  <c r="X358" i="17"/>
  <c r="W358" i="17"/>
  <c r="V358" i="17"/>
  <c r="Q358" i="17"/>
  <c r="AI357" i="17"/>
  <c r="AH357" i="17"/>
  <c r="AG357" i="17"/>
  <c r="AF357" i="17"/>
  <c r="AE357" i="17"/>
  <c r="AD357" i="17"/>
  <c r="AC357" i="17"/>
  <c r="AB357" i="17"/>
  <c r="AA357" i="17"/>
  <c r="Z357" i="17"/>
  <c r="Y357" i="17"/>
  <c r="X357" i="17"/>
  <c r="W357" i="17"/>
  <c r="V357" i="17"/>
  <c r="Q356" i="17"/>
  <c r="AI355" i="17"/>
  <c r="AH355" i="17"/>
  <c r="AG355" i="17"/>
  <c r="AF355" i="17"/>
  <c r="AE355" i="17"/>
  <c r="AD355" i="17"/>
  <c r="AC355" i="17"/>
  <c r="AB355" i="17"/>
  <c r="AA355" i="17"/>
  <c r="Z355" i="17"/>
  <c r="Y355" i="17"/>
  <c r="X355" i="17"/>
  <c r="W355" i="17"/>
  <c r="V355" i="17"/>
  <c r="Q355" i="17"/>
  <c r="AI351" i="17"/>
  <c r="AH351" i="17"/>
  <c r="AG351" i="17"/>
  <c r="AF351" i="17"/>
  <c r="AE351" i="17"/>
  <c r="AD351" i="17"/>
  <c r="AC351" i="17"/>
  <c r="AB351" i="17"/>
  <c r="AA351" i="17"/>
  <c r="Z351" i="17"/>
  <c r="Y351" i="17"/>
  <c r="X351" i="17"/>
  <c r="W351" i="17"/>
  <c r="V351" i="17"/>
  <c r="AI350" i="17"/>
  <c r="AH350" i="17"/>
  <c r="AG350" i="17"/>
  <c r="AF350" i="17"/>
  <c r="AE350" i="17"/>
  <c r="AD350" i="17"/>
  <c r="AC350" i="17"/>
  <c r="AB350" i="17"/>
  <c r="AA350" i="17"/>
  <c r="Z350" i="17"/>
  <c r="Y350" i="17"/>
  <c r="X350" i="17"/>
  <c r="W350" i="17"/>
  <c r="V350" i="17"/>
  <c r="Q350" i="17"/>
  <c r="AI349" i="17"/>
  <c r="AH349" i="17"/>
  <c r="AG349" i="17"/>
  <c r="AF349" i="17"/>
  <c r="AE349" i="17"/>
  <c r="AD349" i="17"/>
  <c r="AC349" i="17"/>
  <c r="AB349" i="17"/>
  <c r="AA349" i="17"/>
  <c r="Z349" i="17"/>
  <c r="Y349" i="17"/>
  <c r="X349" i="17"/>
  <c r="W349" i="17"/>
  <c r="V349" i="17"/>
  <c r="Q348" i="17"/>
  <c r="AI347" i="17"/>
  <c r="AH347" i="17"/>
  <c r="AG347" i="17"/>
  <c r="AF347" i="17"/>
  <c r="AE347" i="17"/>
  <c r="AD347" i="17"/>
  <c r="AC347" i="17"/>
  <c r="AB347" i="17"/>
  <c r="AA347" i="17"/>
  <c r="Z347" i="17"/>
  <c r="Y347" i="17"/>
  <c r="X347" i="17"/>
  <c r="W347" i="17"/>
  <c r="V347" i="17"/>
  <c r="Q347" i="17"/>
  <c r="AI343" i="17"/>
  <c r="AH343" i="17"/>
  <c r="AG343" i="17"/>
  <c r="AF343" i="17"/>
  <c r="AE343" i="17"/>
  <c r="AD343" i="17"/>
  <c r="AC343" i="17"/>
  <c r="AB343" i="17"/>
  <c r="AA343" i="17"/>
  <c r="Z343" i="17"/>
  <c r="Y343" i="17"/>
  <c r="X343" i="17"/>
  <c r="W343" i="17"/>
  <c r="V343" i="17"/>
  <c r="AI342" i="17"/>
  <c r="AH342" i="17"/>
  <c r="AG342" i="17"/>
  <c r="AF342" i="17"/>
  <c r="AE342" i="17"/>
  <c r="AD342" i="17"/>
  <c r="AC342" i="17"/>
  <c r="AB342" i="17"/>
  <c r="AA342" i="17"/>
  <c r="Z342" i="17"/>
  <c r="Y342" i="17"/>
  <c r="X342" i="17"/>
  <c r="W342" i="17"/>
  <c r="V342" i="17"/>
  <c r="Q342" i="17"/>
  <c r="AI341" i="17"/>
  <c r="AH341" i="17"/>
  <c r="AG341" i="17"/>
  <c r="AF341" i="17"/>
  <c r="AE341" i="17"/>
  <c r="AD341" i="17"/>
  <c r="AC341" i="17"/>
  <c r="AB341" i="17"/>
  <c r="AA341" i="17"/>
  <c r="Z341" i="17"/>
  <c r="Y341" i="17"/>
  <c r="X341" i="17"/>
  <c r="W341" i="17"/>
  <c r="V341" i="17"/>
  <c r="Q340" i="17"/>
  <c r="AI339" i="17"/>
  <c r="AH339" i="17"/>
  <c r="AG339" i="17"/>
  <c r="AF339" i="17"/>
  <c r="AE339" i="17"/>
  <c r="AD339" i="17"/>
  <c r="AC339" i="17"/>
  <c r="AB339" i="17"/>
  <c r="AA339" i="17"/>
  <c r="Z339" i="17"/>
  <c r="Y339" i="17"/>
  <c r="X339" i="17"/>
  <c r="W339" i="17"/>
  <c r="V339" i="17"/>
  <c r="Q339" i="17"/>
  <c r="AI335" i="17"/>
  <c r="AH335" i="17"/>
  <c r="AG335" i="17"/>
  <c r="AF335" i="17"/>
  <c r="AE335" i="17"/>
  <c r="AD335" i="17"/>
  <c r="AC335" i="17"/>
  <c r="AB335" i="17"/>
  <c r="AA335" i="17"/>
  <c r="Z335" i="17"/>
  <c r="Y335" i="17"/>
  <c r="X335" i="17"/>
  <c r="W335" i="17"/>
  <c r="V335" i="17"/>
  <c r="AI334" i="17"/>
  <c r="AH334" i="17"/>
  <c r="AG334" i="17"/>
  <c r="AF334" i="17"/>
  <c r="AE334" i="17"/>
  <c r="AD334" i="17"/>
  <c r="AC334" i="17"/>
  <c r="AB334" i="17"/>
  <c r="AA334" i="17"/>
  <c r="Z334" i="17"/>
  <c r="Y334" i="17"/>
  <c r="X334" i="17"/>
  <c r="W334" i="17"/>
  <c r="V334" i="17"/>
  <c r="Q334" i="17"/>
  <c r="AI333" i="17"/>
  <c r="AH333" i="17"/>
  <c r="AG333" i="17"/>
  <c r="AF333" i="17"/>
  <c r="AE333" i="17"/>
  <c r="AD333" i="17"/>
  <c r="AC333" i="17"/>
  <c r="AB333" i="17"/>
  <c r="AA333" i="17"/>
  <c r="Z333" i="17"/>
  <c r="Y333" i="17"/>
  <c r="X333" i="17"/>
  <c r="W333" i="17"/>
  <c r="V333" i="17"/>
  <c r="Q332" i="17"/>
  <c r="AI331" i="17"/>
  <c r="AH331" i="17"/>
  <c r="AG331" i="17"/>
  <c r="AF331" i="17"/>
  <c r="AE331" i="17"/>
  <c r="AD331" i="17"/>
  <c r="AC331" i="17"/>
  <c r="AB331" i="17"/>
  <c r="AA331" i="17"/>
  <c r="Z331" i="17"/>
  <c r="Y331" i="17"/>
  <c r="X331" i="17"/>
  <c r="W331" i="17"/>
  <c r="V331" i="17"/>
  <c r="Q331" i="17"/>
  <c r="AI327" i="17"/>
  <c r="AH327" i="17"/>
  <c r="AG327" i="17"/>
  <c r="AF327" i="17"/>
  <c r="AE327" i="17"/>
  <c r="AD327" i="17"/>
  <c r="AC327" i="17"/>
  <c r="AB327" i="17"/>
  <c r="AA327" i="17"/>
  <c r="Z327" i="17"/>
  <c r="Y327" i="17"/>
  <c r="X327" i="17"/>
  <c r="W327" i="17"/>
  <c r="V327" i="17"/>
  <c r="AI326" i="17"/>
  <c r="AH326" i="17"/>
  <c r="AG326" i="17"/>
  <c r="AF326" i="17"/>
  <c r="AE326" i="17"/>
  <c r="AD326" i="17"/>
  <c r="AC326" i="17"/>
  <c r="AB326" i="17"/>
  <c r="AA326" i="17"/>
  <c r="Z326" i="17"/>
  <c r="Y326" i="17"/>
  <c r="X326" i="17"/>
  <c r="W326" i="17"/>
  <c r="V326" i="17"/>
  <c r="Q326" i="17"/>
  <c r="AI325" i="17"/>
  <c r="AH325" i="17"/>
  <c r="AG325" i="17"/>
  <c r="AF325" i="17"/>
  <c r="AE325" i="17"/>
  <c r="AD325" i="17"/>
  <c r="AC325" i="17"/>
  <c r="AB325" i="17"/>
  <c r="AA325" i="17"/>
  <c r="Z325" i="17"/>
  <c r="Y325" i="17"/>
  <c r="X325" i="17"/>
  <c r="W325" i="17"/>
  <c r="V325" i="17"/>
  <c r="Q324" i="17"/>
  <c r="AI323" i="17"/>
  <c r="AH323" i="17"/>
  <c r="AG323" i="17"/>
  <c r="AF323" i="17"/>
  <c r="AE323" i="17"/>
  <c r="AD323" i="17"/>
  <c r="AC323" i="17"/>
  <c r="AB323" i="17"/>
  <c r="AA323" i="17"/>
  <c r="Z323" i="17"/>
  <c r="Y323" i="17"/>
  <c r="X323" i="17"/>
  <c r="W323" i="17"/>
  <c r="V323" i="17"/>
  <c r="Q323" i="17"/>
  <c r="AI319" i="17"/>
  <c r="AH319" i="17"/>
  <c r="AG319" i="17"/>
  <c r="AF319" i="17"/>
  <c r="AE319" i="17"/>
  <c r="AD319" i="17"/>
  <c r="AC319" i="17"/>
  <c r="AB319" i="17"/>
  <c r="AA319" i="17"/>
  <c r="Z319" i="17"/>
  <c r="Y319" i="17"/>
  <c r="X319" i="17"/>
  <c r="W319" i="17"/>
  <c r="V319" i="17"/>
  <c r="AI318" i="17"/>
  <c r="AH318" i="17"/>
  <c r="AG318" i="17"/>
  <c r="AF318" i="17"/>
  <c r="AE318" i="17"/>
  <c r="AD318" i="17"/>
  <c r="AC318" i="17"/>
  <c r="AB318" i="17"/>
  <c r="AA318" i="17"/>
  <c r="Z318" i="17"/>
  <c r="Y318" i="17"/>
  <c r="X318" i="17"/>
  <c r="W318" i="17"/>
  <c r="V318" i="17"/>
  <c r="Q318" i="17"/>
  <c r="AI317" i="17"/>
  <c r="AH317" i="17"/>
  <c r="AG317" i="17"/>
  <c r="AF317" i="17"/>
  <c r="AE317" i="17"/>
  <c r="AD317" i="17"/>
  <c r="AC317" i="17"/>
  <c r="AB317" i="17"/>
  <c r="AA317" i="17"/>
  <c r="Z317" i="17"/>
  <c r="Y317" i="17"/>
  <c r="X317" i="17"/>
  <c r="W317" i="17"/>
  <c r="V317" i="17"/>
  <c r="Q316" i="17"/>
  <c r="AI315" i="17"/>
  <c r="AH315" i="17"/>
  <c r="AG315" i="17"/>
  <c r="AF315" i="17"/>
  <c r="AE315" i="17"/>
  <c r="AD315" i="17"/>
  <c r="AC315" i="17"/>
  <c r="AB315" i="17"/>
  <c r="AA315" i="17"/>
  <c r="Z315" i="17"/>
  <c r="Y315" i="17"/>
  <c r="X315" i="17"/>
  <c r="W315" i="17"/>
  <c r="V315" i="17"/>
  <c r="Q315" i="17"/>
  <c r="AI311" i="17"/>
  <c r="AH311" i="17"/>
  <c r="AG311" i="17"/>
  <c r="AF311" i="17"/>
  <c r="AE311" i="17"/>
  <c r="AD311" i="17"/>
  <c r="AC311" i="17"/>
  <c r="AB311" i="17"/>
  <c r="AA311" i="17"/>
  <c r="Z311" i="17"/>
  <c r="Y311" i="17"/>
  <c r="X311" i="17"/>
  <c r="W311" i="17"/>
  <c r="V311" i="17"/>
  <c r="AI310" i="17"/>
  <c r="AH310" i="17"/>
  <c r="AG310" i="17"/>
  <c r="AF310" i="17"/>
  <c r="AE310" i="17"/>
  <c r="AD310" i="17"/>
  <c r="AC310" i="17"/>
  <c r="AB310" i="17"/>
  <c r="AA310" i="17"/>
  <c r="Z310" i="17"/>
  <c r="Y310" i="17"/>
  <c r="X310" i="17"/>
  <c r="W310" i="17"/>
  <c r="V310" i="17"/>
  <c r="Q310" i="17"/>
  <c r="AI309" i="17"/>
  <c r="AH309" i="17"/>
  <c r="AG309" i="17"/>
  <c r="AF309" i="17"/>
  <c r="AE309" i="17"/>
  <c r="AD309" i="17"/>
  <c r="AC309" i="17"/>
  <c r="AB309" i="17"/>
  <c r="AA309" i="17"/>
  <c r="Z309" i="17"/>
  <c r="Y309" i="17"/>
  <c r="X309" i="17"/>
  <c r="W309" i="17"/>
  <c r="V309" i="17"/>
  <c r="Q308" i="17"/>
  <c r="AI307" i="17"/>
  <c r="AH307" i="17"/>
  <c r="AG307" i="17"/>
  <c r="AF307" i="17"/>
  <c r="AE307" i="17"/>
  <c r="AD307" i="17"/>
  <c r="AC307" i="17"/>
  <c r="AB307" i="17"/>
  <c r="AA307" i="17"/>
  <c r="Z307" i="17"/>
  <c r="Y307" i="17"/>
  <c r="X307" i="17"/>
  <c r="W307" i="17"/>
  <c r="V307" i="17"/>
  <c r="Q307" i="17"/>
  <c r="AI303" i="17"/>
  <c r="AH303" i="17"/>
  <c r="AG303" i="17"/>
  <c r="AF303" i="17"/>
  <c r="AE303" i="17"/>
  <c r="AD303" i="17"/>
  <c r="AC303" i="17"/>
  <c r="AB303" i="17"/>
  <c r="AA303" i="17"/>
  <c r="Z303" i="17"/>
  <c r="Y303" i="17"/>
  <c r="X303" i="17"/>
  <c r="W303" i="17"/>
  <c r="V303" i="17"/>
  <c r="AI302" i="17"/>
  <c r="AH302" i="17"/>
  <c r="AG302" i="17"/>
  <c r="AF302" i="17"/>
  <c r="AE302" i="17"/>
  <c r="AD302" i="17"/>
  <c r="AC302" i="17"/>
  <c r="AB302" i="17"/>
  <c r="AA302" i="17"/>
  <c r="Z302" i="17"/>
  <c r="Y302" i="17"/>
  <c r="X302" i="17"/>
  <c r="W302" i="17"/>
  <c r="V302" i="17"/>
  <c r="Q302" i="17"/>
  <c r="AI301" i="17"/>
  <c r="AH301" i="17"/>
  <c r="AG301" i="17"/>
  <c r="AF301" i="17"/>
  <c r="AE301" i="17"/>
  <c r="AD301" i="17"/>
  <c r="AC301" i="17"/>
  <c r="AB301" i="17"/>
  <c r="AA301" i="17"/>
  <c r="Z301" i="17"/>
  <c r="Y301" i="17"/>
  <c r="X301" i="17"/>
  <c r="W301" i="17"/>
  <c r="V301" i="17"/>
  <c r="Q300" i="17"/>
  <c r="AI299" i="17"/>
  <c r="AH299" i="17"/>
  <c r="AG299" i="17"/>
  <c r="AF299" i="17"/>
  <c r="AE299" i="17"/>
  <c r="AD299" i="17"/>
  <c r="AC299" i="17"/>
  <c r="AB299" i="17"/>
  <c r="AA299" i="17"/>
  <c r="Z299" i="17"/>
  <c r="Y299" i="17"/>
  <c r="X299" i="17"/>
  <c r="W299" i="17"/>
  <c r="V299" i="17"/>
  <c r="Q299" i="17"/>
  <c r="AI295" i="17"/>
  <c r="AH295" i="17"/>
  <c r="AG295" i="17"/>
  <c r="AF295" i="17"/>
  <c r="AE295" i="17"/>
  <c r="AD295" i="17"/>
  <c r="AC295" i="17"/>
  <c r="AB295" i="17"/>
  <c r="AA295" i="17"/>
  <c r="Z295" i="17"/>
  <c r="Y295" i="17"/>
  <c r="X295" i="17"/>
  <c r="W295" i="17"/>
  <c r="V295" i="17"/>
  <c r="AI294" i="17"/>
  <c r="AH294" i="17"/>
  <c r="AG294" i="17"/>
  <c r="AF294" i="17"/>
  <c r="AE294" i="17"/>
  <c r="AD294" i="17"/>
  <c r="AC294" i="17"/>
  <c r="AB294" i="17"/>
  <c r="AA294" i="17"/>
  <c r="Z294" i="17"/>
  <c r="Y294" i="17"/>
  <c r="X294" i="17"/>
  <c r="W294" i="17"/>
  <c r="V294" i="17"/>
  <c r="Q294" i="17"/>
  <c r="AI293" i="17"/>
  <c r="AH293" i="17"/>
  <c r="AG293" i="17"/>
  <c r="AF293" i="17"/>
  <c r="AE293" i="17"/>
  <c r="AD293" i="17"/>
  <c r="AC293" i="17"/>
  <c r="AB293" i="17"/>
  <c r="AA293" i="17"/>
  <c r="Z293" i="17"/>
  <c r="Y293" i="17"/>
  <c r="X293" i="17"/>
  <c r="W293" i="17"/>
  <c r="V293" i="17"/>
  <c r="Q292" i="17"/>
  <c r="AI291" i="17"/>
  <c r="AH291" i="17"/>
  <c r="AG291" i="17"/>
  <c r="AF291" i="17"/>
  <c r="AE291" i="17"/>
  <c r="AD291" i="17"/>
  <c r="AC291" i="17"/>
  <c r="AB291" i="17"/>
  <c r="AA291" i="17"/>
  <c r="Z291" i="17"/>
  <c r="Y291" i="17"/>
  <c r="X291" i="17"/>
  <c r="W291" i="17"/>
  <c r="V291" i="17"/>
  <c r="Q291" i="17"/>
  <c r="AI287" i="17"/>
  <c r="AH287" i="17"/>
  <c r="AG287" i="17"/>
  <c r="AF287" i="17"/>
  <c r="AE287" i="17"/>
  <c r="AD287" i="17"/>
  <c r="AC287" i="17"/>
  <c r="AB287" i="17"/>
  <c r="AA287" i="17"/>
  <c r="Z287" i="17"/>
  <c r="Y287" i="17"/>
  <c r="X287" i="17"/>
  <c r="W287" i="17"/>
  <c r="V287" i="17"/>
  <c r="AI286" i="17"/>
  <c r="AH286" i="17"/>
  <c r="AG286" i="17"/>
  <c r="AF286" i="17"/>
  <c r="AE286" i="17"/>
  <c r="AD286" i="17"/>
  <c r="AC286" i="17"/>
  <c r="AB286" i="17"/>
  <c r="AA286" i="17"/>
  <c r="Z286" i="17"/>
  <c r="Y286" i="17"/>
  <c r="X286" i="17"/>
  <c r="W286" i="17"/>
  <c r="V286" i="17"/>
  <c r="Q286" i="17"/>
  <c r="AI285" i="17"/>
  <c r="AH285" i="17"/>
  <c r="AG285" i="17"/>
  <c r="AF285" i="17"/>
  <c r="AE285" i="17"/>
  <c r="AD285" i="17"/>
  <c r="AC285" i="17"/>
  <c r="AB285" i="17"/>
  <c r="AA285" i="17"/>
  <c r="Z285" i="17"/>
  <c r="Y285" i="17"/>
  <c r="X285" i="17"/>
  <c r="W285" i="17"/>
  <c r="V285" i="17"/>
  <c r="Q284" i="17"/>
  <c r="AI283" i="17"/>
  <c r="AH283" i="17"/>
  <c r="AG283" i="17"/>
  <c r="AF283" i="17"/>
  <c r="AE283" i="17"/>
  <c r="AD283" i="17"/>
  <c r="AC283" i="17"/>
  <c r="AB283" i="17"/>
  <c r="AA283" i="17"/>
  <c r="Z283" i="17"/>
  <c r="Y283" i="17"/>
  <c r="X283" i="17"/>
  <c r="W283" i="17"/>
  <c r="V283" i="17"/>
  <c r="Q283" i="17"/>
  <c r="AI279" i="17"/>
  <c r="AH279" i="17"/>
  <c r="AG279" i="17"/>
  <c r="AF279" i="17"/>
  <c r="AE279" i="17"/>
  <c r="AD279" i="17"/>
  <c r="AC279" i="17"/>
  <c r="AB279" i="17"/>
  <c r="AA279" i="17"/>
  <c r="Z279" i="17"/>
  <c r="Y279" i="17"/>
  <c r="X279" i="17"/>
  <c r="W279" i="17"/>
  <c r="V279" i="17"/>
  <c r="AI278" i="17"/>
  <c r="AH278" i="17"/>
  <c r="AG278" i="17"/>
  <c r="AF278" i="17"/>
  <c r="AE278" i="17"/>
  <c r="AD278" i="17"/>
  <c r="AC278" i="17"/>
  <c r="AB278" i="17"/>
  <c r="AA278" i="17"/>
  <c r="Z278" i="17"/>
  <c r="Y278" i="17"/>
  <c r="X278" i="17"/>
  <c r="W278" i="17"/>
  <c r="V278" i="17"/>
  <c r="Q278" i="17"/>
  <c r="AI277" i="17"/>
  <c r="AH277" i="17"/>
  <c r="AG277" i="17"/>
  <c r="AF277" i="17"/>
  <c r="AE277" i="17"/>
  <c r="AD277" i="17"/>
  <c r="AC277" i="17"/>
  <c r="AB277" i="17"/>
  <c r="AA277" i="17"/>
  <c r="Z277" i="17"/>
  <c r="Y277" i="17"/>
  <c r="X277" i="17"/>
  <c r="W277" i="17"/>
  <c r="V277" i="17"/>
  <c r="Q276" i="17"/>
  <c r="AI275" i="17"/>
  <c r="AH275" i="17"/>
  <c r="AG275" i="17"/>
  <c r="AF275" i="17"/>
  <c r="AE275" i="17"/>
  <c r="AD275" i="17"/>
  <c r="AC275" i="17"/>
  <c r="AB275" i="17"/>
  <c r="AA275" i="17"/>
  <c r="Z275" i="17"/>
  <c r="Y275" i="17"/>
  <c r="X275" i="17"/>
  <c r="W275" i="17"/>
  <c r="V275" i="17"/>
  <c r="Q275" i="17"/>
  <c r="AI271" i="17"/>
  <c r="AH271" i="17"/>
  <c r="AG271" i="17"/>
  <c r="AF271" i="17"/>
  <c r="AE271" i="17"/>
  <c r="AD271" i="17"/>
  <c r="AC271" i="17"/>
  <c r="AB271" i="17"/>
  <c r="AA271" i="17"/>
  <c r="Z271" i="17"/>
  <c r="Y271" i="17"/>
  <c r="X271" i="17"/>
  <c r="W271" i="17"/>
  <c r="V271" i="17"/>
  <c r="AI270" i="17"/>
  <c r="AH270" i="17"/>
  <c r="AG270" i="17"/>
  <c r="AF270" i="17"/>
  <c r="AE270" i="17"/>
  <c r="AD270" i="17"/>
  <c r="AC270" i="17"/>
  <c r="AB270" i="17"/>
  <c r="AA270" i="17"/>
  <c r="Z270" i="17"/>
  <c r="Y270" i="17"/>
  <c r="X270" i="17"/>
  <c r="W270" i="17"/>
  <c r="V270" i="17"/>
  <c r="Q270" i="17"/>
  <c r="AI269" i="17"/>
  <c r="AH269" i="17"/>
  <c r="AG269" i="17"/>
  <c r="AF269" i="17"/>
  <c r="AE269" i="17"/>
  <c r="AD269" i="17"/>
  <c r="AC269" i="17"/>
  <c r="AB269" i="17"/>
  <c r="AA269" i="17"/>
  <c r="Z269" i="17"/>
  <c r="Y269" i="17"/>
  <c r="X269" i="17"/>
  <c r="W269" i="17"/>
  <c r="V269" i="17"/>
  <c r="Q268" i="17"/>
  <c r="AI267" i="17"/>
  <c r="AH267" i="17"/>
  <c r="AG267" i="17"/>
  <c r="AF267" i="17"/>
  <c r="AE267" i="17"/>
  <c r="AD267" i="17"/>
  <c r="AC267" i="17"/>
  <c r="AB267" i="17"/>
  <c r="AA267" i="17"/>
  <c r="Z267" i="17"/>
  <c r="Y267" i="17"/>
  <c r="X267" i="17"/>
  <c r="W267" i="17"/>
  <c r="V267" i="17"/>
  <c r="Q267" i="17"/>
  <c r="AI263" i="17"/>
  <c r="AH263" i="17"/>
  <c r="AG263" i="17"/>
  <c r="AF263" i="17"/>
  <c r="AE263" i="17"/>
  <c r="AD263" i="17"/>
  <c r="AC263" i="17"/>
  <c r="AB263" i="17"/>
  <c r="AA263" i="17"/>
  <c r="Z263" i="17"/>
  <c r="Y263" i="17"/>
  <c r="X263" i="17"/>
  <c r="W263" i="17"/>
  <c r="V263" i="17"/>
  <c r="AI262" i="17"/>
  <c r="AH262" i="17"/>
  <c r="AG262" i="17"/>
  <c r="AF262" i="17"/>
  <c r="AE262" i="17"/>
  <c r="AD262" i="17"/>
  <c r="AC262" i="17"/>
  <c r="AB262" i="17"/>
  <c r="AA262" i="17"/>
  <c r="Z262" i="17"/>
  <c r="Y262" i="17"/>
  <c r="X262" i="17"/>
  <c r="W262" i="17"/>
  <c r="V262" i="17"/>
  <c r="Q262" i="17"/>
  <c r="AI261" i="17"/>
  <c r="AH261" i="17"/>
  <c r="AG261" i="17"/>
  <c r="AF261" i="17"/>
  <c r="AE261" i="17"/>
  <c r="AD261" i="17"/>
  <c r="AC261" i="17"/>
  <c r="AB261" i="17"/>
  <c r="AA261" i="17"/>
  <c r="Z261" i="17"/>
  <c r="Y261" i="17"/>
  <c r="X261" i="17"/>
  <c r="W261" i="17"/>
  <c r="V261" i="17"/>
  <c r="Q260" i="17"/>
  <c r="AI259" i="17"/>
  <c r="AH259" i="17"/>
  <c r="AG259" i="17"/>
  <c r="AF259" i="17"/>
  <c r="AE259" i="17"/>
  <c r="AD259" i="17"/>
  <c r="AC259" i="17"/>
  <c r="AB259" i="17"/>
  <c r="AA259" i="17"/>
  <c r="Z259" i="17"/>
  <c r="Y259" i="17"/>
  <c r="X259" i="17"/>
  <c r="W259" i="17"/>
  <c r="V259" i="17"/>
  <c r="Q259" i="17"/>
  <c r="AI255" i="17"/>
  <c r="AH255" i="17"/>
  <c r="AG255" i="17"/>
  <c r="AF255" i="17"/>
  <c r="AE255" i="17"/>
  <c r="AD255" i="17"/>
  <c r="AC255" i="17"/>
  <c r="AB255" i="17"/>
  <c r="AA255" i="17"/>
  <c r="Z255" i="17"/>
  <c r="Y255" i="17"/>
  <c r="X255" i="17"/>
  <c r="W255" i="17"/>
  <c r="V255" i="17"/>
  <c r="AI254" i="17"/>
  <c r="AH254" i="17"/>
  <c r="AG254" i="17"/>
  <c r="AF254" i="17"/>
  <c r="AE254" i="17"/>
  <c r="AD254" i="17"/>
  <c r="AC254" i="17"/>
  <c r="AB254" i="17"/>
  <c r="AA254" i="17"/>
  <c r="Z254" i="17"/>
  <c r="Y254" i="17"/>
  <c r="X254" i="17"/>
  <c r="W254" i="17"/>
  <c r="V254" i="17"/>
  <c r="Q254" i="17"/>
  <c r="AI253" i="17"/>
  <c r="AH253" i="17"/>
  <c r="AG253" i="17"/>
  <c r="AF253" i="17"/>
  <c r="AE253" i="17"/>
  <c r="AD253" i="17"/>
  <c r="AC253" i="17"/>
  <c r="AB253" i="17"/>
  <c r="AA253" i="17"/>
  <c r="Z253" i="17"/>
  <c r="Y253" i="17"/>
  <c r="X253" i="17"/>
  <c r="W253" i="17"/>
  <c r="V253" i="17"/>
  <c r="Q252" i="17"/>
  <c r="AI251" i="17"/>
  <c r="AH251" i="17"/>
  <c r="AG251" i="17"/>
  <c r="AF251" i="17"/>
  <c r="AE251" i="17"/>
  <c r="AD251" i="17"/>
  <c r="AC251" i="17"/>
  <c r="AB251" i="17"/>
  <c r="AA251" i="17"/>
  <c r="Z251" i="17"/>
  <c r="Y251" i="17"/>
  <c r="X251" i="17"/>
  <c r="W251" i="17"/>
  <c r="V251" i="17"/>
  <c r="Q251" i="17"/>
  <c r="AI247" i="17"/>
  <c r="AH247" i="17"/>
  <c r="AG247" i="17"/>
  <c r="AF247" i="17"/>
  <c r="AE247" i="17"/>
  <c r="AD247" i="17"/>
  <c r="AC247" i="17"/>
  <c r="AB247" i="17"/>
  <c r="AA247" i="17"/>
  <c r="Z247" i="17"/>
  <c r="Y247" i="17"/>
  <c r="X247" i="17"/>
  <c r="W247" i="17"/>
  <c r="V247" i="17"/>
  <c r="AI246" i="17"/>
  <c r="AH246" i="17"/>
  <c r="AG246" i="17"/>
  <c r="AF246" i="17"/>
  <c r="AE246" i="17"/>
  <c r="AD246" i="17"/>
  <c r="AC246" i="17"/>
  <c r="AB246" i="17"/>
  <c r="AA246" i="17"/>
  <c r="Z246" i="17"/>
  <c r="Y246" i="17"/>
  <c r="X246" i="17"/>
  <c r="W246" i="17"/>
  <c r="V246" i="17"/>
  <c r="Q246" i="17"/>
  <c r="AI245" i="17"/>
  <c r="AH245" i="17"/>
  <c r="AG245" i="17"/>
  <c r="AF245" i="17"/>
  <c r="AE245" i="17"/>
  <c r="AD245" i="17"/>
  <c r="AC245" i="17"/>
  <c r="AB245" i="17"/>
  <c r="AA245" i="17"/>
  <c r="Z245" i="17"/>
  <c r="Y245" i="17"/>
  <c r="X245" i="17"/>
  <c r="W245" i="17"/>
  <c r="V245" i="17"/>
  <c r="Q244" i="17"/>
  <c r="AI243" i="17"/>
  <c r="AH243" i="17"/>
  <c r="AG243" i="17"/>
  <c r="AF243" i="17"/>
  <c r="AE243" i="17"/>
  <c r="AD243" i="17"/>
  <c r="AC243" i="17"/>
  <c r="AB243" i="17"/>
  <c r="AA243" i="17"/>
  <c r="Z243" i="17"/>
  <c r="Y243" i="17"/>
  <c r="X243" i="17"/>
  <c r="W243" i="17"/>
  <c r="V243" i="17"/>
  <c r="Q243" i="17"/>
  <c r="AI239" i="17"/>
  <c r="AH239" i="17"/>
  <c r="AG239" i="17"/>
  <c r="AF239" i="17"/>
  <c r="AE239" i="17"/>
  <c r="AD239" i="17"/>
  <c r="AC239" i="17"/>
  <c r="AB239" i="17"/>
  <c r="AA239" i="17"/>
  <c r="Z239" i="17"/>
  <c r="Y239" i="17"/>
  <c r="X239" i="17"/>
  <c r="W239" i="17"/>
  <c r="V239" i="17"/>
  <c r="AI238" i="17"/>
  <c r="AH238" i="17"/>
  <c r="AG238" i="17"/>
  <c r="AF238" i="17"/>
  <c r="AE238" i="17"/>
  <c r="AD238" i="17"/>
  <c r="AC238" i="17"/>
  <c r="AB238" i="17"/>
  <c r="AA238" i="17"/>
  <c r="Z238" i="17"/>
  <c r="Y238" i="17"/>
  <c r="X238" i="17"/>
  <c r="W238" i="17"/>
  <c r="V238" i="17"/>
  <c r="Q238" i="17"/>
  <c r="AI237" i="17"/>
  <c r="AH237" i="17"/>
  <c r="AG237" i="17"/>
  <c r="AF237" i="17"/>
  <c r="AE237" i="17"/>
  <c r="AD237" i="17"/>
  <c r="AC237" i="17"/>
  <c r="AB237" i="17"/>
  <c r="AA237" i="17"/>
  <c r="Z237" i="17"/>
  <c r="Y237" i="17"/>
  <c r="X237" i="17"/>
  <c r="W237" i="17"/>
  <c r="V237" i="17"/>
  <c r="Q236" i="17"/>
  <c r="AI235" i="17"/>
  <c r="AH235" i="17"/>
  <c r="AG235" i="17"/>
  <c r="AF235" i="17"/>
  <c r="AE235" i="17"/>
  <c r="AD235" i="17"/>
  <c r="AC235" i="17"/>
  <c r="AB235" i="17"/>
  <c r="AA235" i="17"/>
  <c r="Z235" i="17"/>
  <c r="Y235" i="17"/>
  <c r="X235" i="17"/>
  <c r="W235" i="17"/>
  <c r="V235" i="17"/>
  <c r="Q235" i="17"/>
  <c r="AI231" i="17"/>
  <c r="AH231" i="17"/>
  <c r="AG231" i="17"/>
  <c r="AF231" i="17"/>
  <c r="AE231" i="17"/>
  <c r="AD231" i="17"/>
  <c r="AC231" i="17"/>
  <c r="AB231" i="17"/>
  <c r="AA231" i="17"/>
  <c r="Z231" i="17"/>
  <c r="Y231" i="17"/>
  <c r="X231" i="17"/>
  <c r="W231" i="17"/>
  <c r="V231" i="17"/>
  <c r="AI230" i="17"/>
  <c r="AH230" i="17"/>
  <c r="AG230" i="17"/>
  <c r="AF230" i="17"/>
  <c r="AE230" i="17"/>
  <c r="AD230" i="17"/>
  <c r="AC230" i="17"/>
  <c r="AB230" i="17"/>
  <c r="AA230" i="17"/>
  <c r="Z230" i="17"/>
  <c r="Y230" i="17"/>
  <c r="X230" i="17"/>
  <c r="W230" i="17"/>
  <c r="V230" i="17"/>
  <c r="Q230" i="17"/>
  <c r="AI229" i="17"/>
  <c r="AH229" i="17"/>
  <c r="AG229" i="17"/>
  <c r="AF229" i="17"/>
  <c r="AE229" i="17"/>
  <c r="AD229" i="17"/>
  <c r="AC229" i="17"/>
  <c r="AB229" i="17"/>
  <c r="AA229" i="17"/>
  <c r="Z229" i="17"/>
  <c r="Y229" i="17"/>
  <c r="X229" i="17"/>
  <c r="W229" i="17"/>
  <c r="V229" i="17"/>
  <c r="Q228" i="17"/>
  <c r="AI227" i="17"/>
  <c r="AH227" i="17"/>
  <c r="AG227" i="17"/>
  <c r="AF227" i="17"/>
  <c r="AE227" i="17"/>
  <c r="AD227" i="17"/>
  <c r="AC227" i="17"/>
  <c r="AB227" i="17"/>
  <c r="AA227" i="17"/>
  <c r="Z227" i="17"/>
  <c r="Y227" i="17"/>
  <c r="X227" i="17"/>
  <c r="W227" i="17"/>
  <c r="V227" i="17"/>
  <c r="Q227" i="17"/>
  <c r="AI223" i="17"/>
  <c r="AH223" i="17"/>
  <c r="AG223" i="17"/>
  <c r="AF223" i="17"/>
  <c r="AE223" i="17"/>
  <c r="AD223" i="17"/>
  <c r="AC223" i="17"/>
  <c r="AB223" i="17"/>
  <c r="AA223" i="17"/>
  <c r="Z223" i="17"/>
  <c r="Y223" i="17"/>
  <c r="X223" i="17"/>
  <c r="W223" i="17"/>
  <c r="V223" i="17"/>
  <c r="AI222" i="17"/>
  <c r="AH222" i="17"/>
  <c r="AG222" i="17"/>
  <c r="AF222" i="17"/>
  <c r="AE222" i="17"/>
  <c r="AD222" i="17"/>
  <c r="AC222" i="17"/>
  <c r="AB222" i="17"/>
  <c r="AA222" i="17"/>
  <c r="Z222" i="17"/>
  <c r="Y222" i="17"/>
  <c r="X222" i="17"/>
  <c r="W222" i="17"/>
  <c r="V222" i="17"/>
  <c r="Q222" i="17"/>
  <c r="AI221" i="17"/>
  <c r="AH221" i="17"/>
  <c r="AG221" i="17"/>
  <c r="AF221" i="17"/>
  <c r="AE221" i="17"/>
  <c r="AD221" i="17"/>
  <c r="AC221" i="17"/>
  <c r="AB221" i="17"/>
  <c r="AA221" i="17"/>
  <c r="Z221" i="17"/>
  <c r="Y221" i="17"/>
  <c r="X221" i="17"/>
  <c r="W221" i="17"/>
  <c r="V221" i="17"/>
  <c r="Q220" i="17"/>
  <c r="AI219" i="17"/>
  <c r="AH219" i="17"/>
  <c r="AG219" i="17"/>
  <c r="AF219" i="17"/>
  <c r="AE219" i="17"/>
  <c r="AD219" i="17"/>
  <c r="AC219" i="17"/>
  <c r="AB219" i="17"/>
  <c r="AA219" i="17"/>
  <c r="Z219" i="17"/>
  <c r="Y219" i="17"/>
  <c r="X219" i="17"/>
  <c r="W219" i="17"/>
  <c r="V219" i="17"/>
  <c r="Q219" i="17"/>
  <c r="AI215" i="17"/>
  <c r="AH215" i="17"/>
  <c r="AG215" i="17"/>
  <c r="AF215" i="17"/>
  <c r="AE215" i="17"/>
  <c r="AD215" i="17"/>
  <c r="AC215" i="17"/>
  <c r="AB215" i="17"/>
  <c r="AA215" i="17"/>
  <c r="Z215" i="17"/>
  <c r="Y215" i="17"/>
  <c r="X215" i="17"/>
  <c r="W215" i="17"/>
  <c r="V215" i="17"/>
  <c r="AI214" i="17"/>
  <c r="AH214" i="17"/>
  <c r="AG214" i="17"/>
  <c r="AF214" i="17"/>
  <c r="AE214" i="17"/>
  <c r="AD214" i="17"/>
  <c r="AC214" i="17"/>
  <c r="AB214" i="17"/>
  <c r="AA214" i="17"/>
  <c r="Z214" i="17"/>
  <c r="Y214" i="17"/>
  <c r="X214" i="17"/>
  <c r="W214" i="17"/>
  <c r="V214" i="17"/>
  <c r="Q214" i="17"/>
  <c r="AI213" i="17"/>
  <c r="AH213" i="17"/>
  <c r="AG213" i="17"/>
  <c r="AF213" i="17"/>
  <c r="AE213" i="17"/>
  <c r="AD213" i="17"/>
  <c r="AC213" i="17"/>
  <c r="AB213" i="17"/>
  <c r="AA213" i="17"/>
  <c r="Z213" i="17"/>
  <c r="Y213" i="17"/>
  <c r="X213" i="17"/>
  <c r="W213" i="17"/>
  <c r="V213" i="17"/>
  <c r="Q212" i="17"/>
  <c r="AI211" i="17"/>
  <c r="AH211" i="17"/>
  <c r="AG211" i="17"/>
  <c r="AF211" i="17"/>
  <c r="AE211" i="17"/>
  <c r="AD211" i="17"/>
  <c r="AC211" i="17"/>
  <c r="AB211" i="17"/>
  <c r="AA211" i="17"/>
  <c r="Z211" i="17"/>
  <c r="Y211" i="17"/>
  <c r="X211" i="17"/>
  <c r="W211" i="17"/>
  <c r="V211" i="17"/>
  <c r="Q211" i="17"/>
  <c r="AI207" i="17"/>
  <c r="AH207" i="17"/>
  <c r="AG207" i="17"/>
  <c r="AF207" i="17"/>
  <c r="AE207" i="17"/>
  <c r="AD207" i="17"/>
  <c r="AC207" i="17"/>
  <c r="AB207" i="17"/>
  <c r="AA207" i="17"/>
  <c r="Z207" i="17"/>
  <c r="Y207" i="17"/>
  <c r="X207" i="17"/>
  <c r="W207" i="17"/>
  <c r="V207" i="17"/>
  <c r="AI206" i="17"/>
  <c r="AH206" i="17"/>
  <c r="AG206" i="17"/>
  <c r="AF206" i="17"/>
  <c r="AE206" i="17"/>
  <c r="AD206" i="17"/>
  <c r="AC206" i="17"/>
  <c r="AB206" i="17"/>
  <c r="AA206" i="17"/>
  <c r="Z206" i="17"/>
  <c r="Y206" i="17"/>
  <c r="X206" i="17"/>
  <c r="W206" i="17"/>
  <c r="V206" i="17"/>
  <c r="Q206" i="17"/>
  <c r="AI205" i="17"/>
  <c r="AH205" i="17"/>
  <c r="AG205" i="17"/>
  <c r="AF205" i="17"/>
  <c r="AE205" i="17"/>
  <c r="AD205" i="17"/>
  <c r="AC205" i="17"/>
  <c r="AB205" i="17"/>
  <c r="AA205" i="17"/>
  <c r="Z205" i="17"/>
  <c r="Y205" i="17"/>
  <c r="X205" i="17"/>
  <c r="W205" i="17"/>
  <c r="V205" i="17"/>
  <c r="Q204" i="17"/>
  <c r="AI203" i="17"/>
  <c r="AH203" i="17"/>
  <c r="AG203" i="17"/>
  <c r="AF203" i="17"/>
  <c r="AE203" i="17"/>
  <c r="AD203" i="17"/>
  <c r="AC203" i="17"/>
  <c r="AB203" i="17"/>
  <c r="AA203" i="17"/>
  <c r="Z203" i="17"/>
  <c r="Y203" i="17"/>
  <c r="X203" i="17"/>
  <c r="W203" i="17"/>
  <c r="V203" i="17"/>
  <c r="Q203" i="17"/>
  <c r="AI199" i="17"/>
  <c r="AH199" i="17"/>
  <c r="AG199" i="17"/>
  <c r="AF199" i="17"/>
  <c r="AE199" i="17"/>
  <c r="AD199" i="17"/>
  <c r="AC199" i="17"/>
  <c r="AB199" i="17"/>
  <c r="AA199" i="17"/>
  <c r="Z199" i="17"/>
  <c r="Y199" i="17"/>
  <c r="X199" i="17"/>
  <c r="W199" i="17"/>
  <c r="V199" i="17"/>
  <c r="AI198" i="17"/>
  <c r="AH198" i="17"/>
  <c r="AG198" i="17"/>
  <c r="AF198" i="17"/>
  <c r="AE198" i="17"/>
  <c r="AD198" i="17"/>
  <c r="AC198" i="17"/>
  <c r="AB198" i="17"/>
  <c r="AA198" i="17"/>
  <c r="Z198" i="17"/>
  <c r="Y198" i="17"/>
  <c r="X198" i="17"/>
  <c r="W198" i="17"/>
  <c r="V198" i="17"/>
  <c r="Q198" i="17"/>
  <c r="AI197" i="17"/>
  <c r="AH197" i="17"/>
  <c r="AG197" i="17"/>
  <c r="AF197" i="17"/>
  <c r="AE197" i="17"/>
  <c r="AD197" i="17"/>
  <c r="AC197" i="17"/>
  <c r="AB197" i="17"/>
  <c r="AA197" i="17"/>
  <c r="Z197" i="17"/>
  <c r="Y197" i="17"/>
  <c r="X197" i="17"/>
  <c r="W197" i="17"/>
  <c r="V197" i="17"/>
  <c r="Q196" i="17"/>
  <c r="AI195" i="17"/>
  <c r="AH195" i="17"/>
  <c r="AG195" i="17"/>
  <c r="AF195" i="17"/>
  <c r="AE195" i="17"/>
  <c r="AD195" i="17"/>
  <c r="AC195" i="17"/>
  <c r="AB195" i="17"/>
  <c r="AA195" i="17"/>
  <c r="Z195" i="17"/>
  <c r="Y195" i="17"/>
  <c r="X195" i="17"/>
  <c r="W195" i="17"/>
  <c r="V195" i="17"/>
  <c r="Q195" i="17"/>
  <c r="AI191" i="17"/>
  <c r="AH191" i="17"/>
  <c r="AG191" i="17"/>
  <c r="AF191" i="17"/>
  <c r="AE191" i="17"/>
  <c r="AD191" i="17"/>
  <c r="AC191" i="17"/>
  <c r="AB191" i="17"/>
  <c r="AA191" i="17"/>
  <c r="Z191" i="17"/>
  <c r="Y191" i="17"/>
  <c r="X191" i="17"/>
  <c r="W191" i="17"/>
  <c r="V191" i="17"/>
  <c r="AI190" i="17"/>
  <c r="AH190" i="17"/>
  <c r="AG190" i="17"/>
  <c r="AF190" i="17"/>
  <c r="AE190" i="17"/>
  <c r="AD190" i="17"/>
  <c r="AC190" i="17"/>
  <c r="AB190" i="17"/>
  <c r="AA190" i="17"/>
  <c r="Z190" i="17"/>
  <c r="Y190" i="17"/>
  <c r="X190" i="17"/>
  <c r="W190" i="17"/>
  <c r="V190" i="17"/>
  <c r="Q190" i="17"/>
  <c r="AI189" i="17"/>
  <c r="AH189" i="17"/>
  <c r="AG189" i="17"/>
  <c r="AF189" i="17"/>
  <c r="AE189" i="17"/>
  <c r="AD189" i="17"/>
  <c r="AC189" i="17"/>
  <c r="AB189" i="17"/>
  <c r="AA189" i="17"/>
  <c r="Z189" i="17"/>
  <c r="Y189" i="17"/>
  <c r="X189" i="17"/>
  <c r="W189" i="17"/>
  <c r="V189" i="17"/>
  <c r="Q188" i="17"/>
  <c r="AI187" i="17"/>
  <c r="AH187" i="17"/>
  <c r="AG187" i="17"/>
  <c r="AF187" i="17"/>
  <c r="AE187" i="17"/>
  <c r="AD187" i="17"/>
  <c r="AC187" i="17"/>
  <c r="AB187" i="17"/>
  <c r="AA187" i="17"/>
  <c r="Z187" i="17"/>
  <c r="Y187" i="17"/>
  <c r="X187" i="17"/>
  <c r="W187" i="17"/>
  <c r="V187" i="17"/>
  <c r="Q187" i="17"/>
  <c r="AI183" i="17"/>
  <c r="AH183" i="17"/>
  <c r="AG183" i="17"/>
  <c r="AF183" i="17"/>
  <c r="AE183" i="17"/>
  <c r="AD183" i="17"/>
  <c r="AC183" i="17"/>
  <c r="AB183" i="17"/>
  <c r="AA183" i="17"/>
  <c r="Z183" i="17"/>
  <c r="Y183" i="17"/>
  <c r="X183" i="17"/>
  <c r="W183" i="17"/>
  <c r="V183" i="17"/>
  <c r="AI182" i="17"/>
  <c r="AH182" i="17"/>
  <c r="AG182" i="17"/>
  <c r="AF182" i="17"/>
  <c r="AE182" i="17"/>
  <c r="AD182" i="17"/>
  <c r="AC182" i="17"/>
  <c r="AB182" i="17"/>
  <c r="AA182" i="17"/>
  <c r="Z182" i="17"/>
  <c r="Y182" i="17"/>
  <c r="X182" i="17"/>
  <c r="W182" i="17"/>
  <c r="V182" i="17"/>
  <c r="Q182" i="17"/>
  <c r="AI181" i="17"/>
  <c r="AH181" i="17"/>
  <c r="AG181" i="17"/>
  <c r="AF181" i="17"/>
  <c r="AE181" i="17"/>
  <c r="AD181" i="17"/>
  <c r="AC181" i="17"/>
  <c r="AB181" i="17"/>
  <c r="AA181" i="17"/>
  <c r="Z181" i="17"/>
  <c r="Y181" i="17"/>
  <c r="X181" i="17"/>
  <c r="W181" i="17"/>
  <c r="V181" i="17"/>
  <c r="Q180" i="17"/>
  <c r="AI179" i="17"/>
  <c r="AH179" i="17"/>
  <c r="AG179" i="17"/>
  <c r="AF179" i="17"/>
  <c r="AE179" i="17"/>
  <c r="AD179" i="17"/>
  <c r="AC179" i="17"/>
  <c r="AB179" i="17"/>
  <c r="AA179" i="17"/>
  <c r="Z179" i="17"/>
  <c r="Y179" i="17"/>
  <c r="X179" i="17"/>
  <c r="W179" i="17"/>
  <c r="V179" i="17"/>
  <c r="Q179" i="17"/>
  <c r="AI175" i="17"/>
  <c r="AH175" i="17"/>
  <c r="AG175" i="17"/>
  <c r="AF175" i="17"/>
  <c r="AE175" i="17"/>
  <c r="AD175" i="17"/>
  <c r="AC175" i="17"/>
  <c r="AB175" i="17"/>
  <c r="AA175" i="17"/>
  <c r="Z175" i="17"/>
  <c r="Y175" i="17"/>
  <c r="X175" i="17"/>
  <c r="W175" i="17"/>
  <c r="V175" i="17"/>
  <c r="AI174" i="17"/>
  <c r="AH174" i="17"/>
  <c r="AG174" i="17"/>
  <c r="AF174" i="17"/>
  <c r="AE174" i="17"/>
  <c r="AD174" i="17"/>
  <c r="AC174" i="17"/>
  <c r="AB174" i="17"/>
  <c r="AA174" i="17"/>
  <c r="Z174" i="17"/>
  <c r="Y174" i="17"/>
  <c r="X174" i="17"/>
  <c r="W174" i="17"/>
  <c r="V174" i="17"/>
  <c r="Q174" i="17"/>
  <c r="AI173" i="17"/>
  <c r="AH173" i="17"/>
  <c r="AG173" i="17"/>
  <c r="AF173" i="17"/>
  <c r="AE173" i="17"/>
  <c r="AD173" i="17"/>
  <c r="AC173" i="17"/>
  <c r="AB173" i="17"/>
  <c r="AA173" i="17"/>
  <c r="Z173" i="17"/>
  <c r="Y173" i="17"/>
  <c r="X173" i="17"/>
  <c r="W173" i="17"/>
  <c r="V173" i="17"/>
  <c r="Q172" i="17"/>
  <c r="AI171" i="17"/>
  <c r="AH171" i="17"/>
  <c r="AG171" i="17"/>
  <c r="AF171" i="17"/>
  <c r="AE171" i="17"/>
  <c r="AD171" i="17"/>
  <c r="AC171" i="17"/>
  <c r="AB171" i="17"/>
  <c r="AA171" i="17"/>
  <c r="Z171" i="17"/>
  <c r="Y171" i="17"/>
  <c r="X171" i="17"/>
  <c r="W171" i="17"/>
  <c r="V171" i="17"/>
  <c r="Q171" i="17"/>
  <c r="AI167" i="17"/>
  <c r="AH167" i="17"/>
  <c r="AG167" i="17"/>
  <c r="AF167" i="17"/>
  <c r="AE167" i="17"/>
  <c r="AD167" i="17"/>
  <c r="AC167" i="17"/>
  <c r="AB167" i="17"/>
  <c r="AA167" i="17"/>
  <c r="Z167" i="17"/>
  <c r="Y167" i="17"/>
  <c r="X167" i="17"/>
  <c r="W167" i="17"/>
  <c r="V167" i="17"/>
  <c r="AI166" i="17"/>
  <c r="AH166" i="17"/>
  <c r="AG166" i="17"/>
  <c r="AF166" i="17"/>
  <c r="AE166" i="17"/>
  <c r="AD166" i="17"/>
  <c r="AC166" i="17"/>
  <c r="AB166" i="17"/>
  <c r="AA166" i="17"/>
  <c r="Z166" i="17"/>
  <c r="Y166" i="17"/>
  <c r="X166" i="17"/>
  <c r="W166" i="17"/>
  <c r="V166" i="17"/>
  <c r="Q166" i="17"/>
  <c r="AI165" i="17"/>
  <c r="AH165" i="17"/>
  <c r="AG165" i="17"/>
  <c r="AF165" i="17"/>
  <c r="AE165" i="17"/>
  <c r="AD165" i="17"/>
  <c r="AC165" i="17"/>
  <c r="AB165" i="17"/>
  <c r="AA165" i="17"/>
  <c r="Z165" i="17"/>
  <c r="Y165" i="17"/>
  <c r="X165" i="17"/>
  <c r="W165" i="17"/>
  <c r="V165" i="17"/>
  <c r="Q164" i="17"/>
  <c r="AI163" i="17"/>
  <c r="AH163" i="17"/>
  <c r="AG163" i="17"/>
  <c r="AF163" i="17"/>
  <c r="AE163" i="17"/>
  <c r="AD163" i="17"/>
  <c r="AC163" i="17"/>
  <c r="AB163" i="17"/>
  <c r="AA163" i="17"/>
  <c r="Z163" i="17"/>
  <c r="Y163" i="17"/>
  <c r="X163" i="17"/>
  <c r="W163" i="17"/>
  <c r="V163" i="17"/>
  <c r="Q163" i="17"/>
  <c r="AI159" i="17"/>
  <c r="AH159" i="17"/>
  <c r="AG159" i="17"/>
  <c r="AF159" i="17"/>
  <c r="AE159" i="17"/>
  <c r="AD159" i="17"/>
  <c r="AC159" i="17"/>
  <c r="AB159" i="17"/>
  <c r="AA159" i="17"/>
  <c r="Z159" i="17"/>
  <c r="Y159" i="17"/>
  <c r="X159" i="17"/>
  <c r="W159" i="17"/>
  <c r="V159" i="17"/>
  <c r="AI158" i="17"/>
  <c r="AH158" i="17"/>
  <c r="AG158" i="17"/>
  <c r="AF158" i="17"/>
  <c r="AE158" i="17"/>
  <c r="AD158" i="17"/>
  <c r="AC158" i="17"/>
  <c r="AB158" i="17"/>
  <c r="AA158" i="17"/>
  <c r="Z158" i="17"/>
  <c r="Y158" i="17"/>
  <c r="X158" i="17"/>
  <c r="W158" i="17"/>
  <c r="V158" i="17"/>
  <c r="Q158" i="17"/>
  <c r="AI157" i="17"/>
  <c r="AH157" i="17"/>
  <c r="AG157" i="17"/>
  <c r="AF157" i="17"/>
  <c r="AE157" i="17"/>
  <c r="AD157" i="17"/>
  <c r="AC157" i="17"/>
  <c r="AB157" i="17"/>
  <c r="AA157" i="17"/>
  <c r="Z157" i="17"/>
  <c r="Y157" i="17"/>
  <c r="X157" i="17"/>
  <c r="W157" i="17"/>
  <c r="V157" i="17"/>
  <c r="Q156" i="17"/>
  <c r="AI155" i="17"/>
  <c r="AH155" i="17"/>
  <c r="AG155" i="17"/>
  <c r="AF155" i="17"/>
  <c r="AE155" i="17"/>
  <c r="AD155" i="17"/>
  <c r="AC155" i="17"/>
  <c r="AB155" i="17"/>
  <c r="AA155" i="17"/>
  <c r="Z155" i="17"/>
  <c r="Y155" i="17"/>
  <c r="X155" i="17"/>
  <c r="W155" i="17"/>
  <c r="V155" i="17"/>
  <c r="Q155" i="17"/>
  <c r="AI151" i="17"/>
  <c r="AH151" i="17"/>
  <c r="AG151" i="17"/>
  <c r="AF151" i="17"/>
  <c r="AE151" i="17"/>
  <c r="AD151" i="17"/>
  <c r="AC151" i="17"/>
  <c r="AB151" i="17"/>
  <c r="AA151" i="17"/>
  <c r="Z151" i="17"/>
  <c r="Y151" i="17"/>
  <c r="X151" i="17"/>
  <c r="W151" i="17"/>
  <c r="V151" i="17"/>
  <c r="AI150" i="17"/>
  <c r="AH150" i="17"/>
  <c r="AG150" i="17"/>
  <c r="AF150" i="17"/>
  <c r="AE150" i="17"/>
  <c r="AD150" i="17"/>
  <c r="AC150" i="17"/>
  <c r="AB150" i="17"/>
  <c r="AA150" i="17"/>
  <c r="Z150" i="17"/>
  <c r="Y150" i="17"/>
  <c r="X150" i="17"/>
  <c r="W150" i="17"/>
  <c r="V150" i="17"/>
  <c r="Q150" i="17"/>
  <c r="AI149" i="17"/>
  <c r="AH149" i="17"/>
  <c r="AG149" i="17"/>
  <c r="AF149" i="17"/>
  <c r="AE149" i="17"/>
  <c r="AD149" i="17"/>
  <c r="AC149" i="17"/>
  <c r="AB149" i="17"/>
  <c r="AA149" i="17"/>
  <c r="Z149" i="17"/>
  <c r="Y149" i="17"/>
  <c r="X149" i="17"/>
  <c r="W149" i="17"/>
  <c r="V149" i="17"/>
  <c r="Q148" i="17"/>
  <c r="AI147" i="17"/>
  <c r="AH147" i="17"/>
  <c r="AG147" i="17"/>
  <c r="AF147" i="17"/>
  <c r="AE147" i="17"/>
  <c r="AD147" i="17"/>
  <c r="AC147" i="17"/>
  <c r="AB147" i="17"/>
  <c r="AA147" i="17"/>
  <c r="Z147" i="17"/>
  <c r="Y147" i="17"/>
  <c r="X147" i="17"/>
  <c r="W147" i="17"/>
  <c r="V147" i="17"/>
  <c r="Q147" i="17"/>
  <c r="AI143" i="17"/>
  <c r="AH143" i="17"/>
  <c r="AG143" i="17"/>
  <c r="AF143" i="17"/>
  <c r="AE143" i="17"/>
  <c r="AD143" i="17"/>
  <c r="AC143" i="17"/>
  <c r="AB143" i="17"/>
  <c r="AA143" i="17"/>
  <c r="Z143" i="17"/>
  <c r="Y143" i="17"/>
  <c r="X143" i="17"/>
  <c r="W143" i="17"/>
  <c r="V143" i="17"/>
  <c r="AI142" i="17"/>
  <c r="AH142" i="17"/>
  <c r="AG142" i="17"/>
  <c r="AF142" i="17"/>
  <c r="AE142" i="17"/>
  <c r="AD142" i="17"/>
  <c r="AC142" i="17"/>
  <c r="AB142" i="17"/>
  <c r="AA142" i="17"/>
  <c r="Z142" i="17"/>
  <c r="Y142" i="17"/>
  <c r="X142" i="17"/>
  <c r="W142" i="17"/>
  <c r="V142" i="17"/>
  <c r="Q142" i="17"/>
  <c r="AI141" i="17"/>
  <c r="AH141" i="17"/>
  <c r="AG141" i="17"/>
  <c r="AF141" i="17"/>
  <c r="AE141" i="17"/>
  <c r="AD141" i="17"/>
  <c r="AC141" i="17"/>
  <c r="AB141" i="17"/>
  <c r="AA141" i="17"/>
  <c r="Z141" i="17"/>
  <c r="Y141" i="17"/>
  <c r="X141" i="17"/>
  <c r="W141" i="17"/>
  <c r="V141" i="17"/>
  <c r="Q140" i="17"/>
  <c r="AI139" i="17"/>
  <c r="AH139" i="17"/>
  <c r="AG139" i="17"/>
  <c r="AF139" i="17"/>
  <c r="AE139" i="17"/>
  <c r="AD139" i="17"/>
  <c r="AC139" i="17"/>
  <c r="AB139" i="17"/>
  <c r="AA139" i="17"/>
  <c r="Z139" i="17"/>
  <c r="Y139" i="17"/>
  <c r="X139" i="17"/>
  <c r="W139" i="17"/>
  <c r="V139" i="17"/>
  <c r="Q139" i="17"/>
  <c r="AI135" i="17"/>
  <c r="AH135" i="17"/>
  <c r="AG135" i="17"/>
  <c r="AF135" i="17"/>
  <c r="AE135" i="17"/>
  <c r="AD135" i="17"/>
  <c r="AC135" i="17"/>
  <c r="AB135" i="17"/>
  <c r="AA135" i="17"/>
  <c r="Z135" i="17"/>
  <c r="Y135" i="17"/>
  <c r="X135" i="17"/>
  <c r="W135" i="17"/>
  <c r="V135" i="17"/>
  <c r="AI134" i="17"/>
  <c r="AH134" i="17"/>
  <c r="AG134" i="17"/>
  <c r="AF134" i="17"/>
  <c r="AE134" i="17"/>
  <c r="AD134" i="17"/>
  <c r="AC134" i="17"/>
  <c r="AB134" i="17"/>
  <c r="AA134" i="17"/>
  <c r="Z134" i="17"/>
  <c r="Y134" i="17"/>
  <c r="X134" i="17"/>
  <c r="W134" i="17"/>
  <c r="V134" i="17"/>
  <c r="Q134" i="17"/>
  <c r="AI133" i="17"/>
  <c r="AH133" i="17"/>
  <c r="AG133" i="17"/>
  <c r="AF133" i="17"/>
  <c r="AE133" i="17"/>
  <c r="AD133" i="17"/>
  <c r="AC133" i="17"/>
  <c r="AB133" i="17"/>
  <c r="AA133" i="17"/>
  <c r="Z133" i="17"/>
  <c r="Y133" i="17"/>
  <c r="X133" i="17"/>
  <c r="W133" i="17"/>
  <c r="V133" i="17"/>
  <c r="Q132" i="17"/>
  <c r="AI131" i="17"/>
  <c r="AH131" i="17"/>
  <c r="AG131" i="17"/>
  <c r="AF131" i="17"/>
  <c r="AE131" i="17"/>
  <c r="AD131" i="17"/>
  <c r="AC131" i="17"/>
  <c r="AB131" i="17"/>
  <c r="AA131" i="17"/>
  <c r="Z131" i="17"/>
  <c r="Y131" i="17"/>
  <c r="X131" i="17"/>
  <c r="W131" i="17"/>
  <c r="V131" i="17"/>
  <c r="Q131" i="17"/>
  <c r="AI127" i="17"/>
  <c r="AH127" i="17"/>
  <c r="AG127" i="17"/>
  <c r="AF127" i="17"/>
  <c r="AE127" i="17"/>
  <c r="AD127" i="17"/>
  <c r="AC127" i="17"/>
  <c r="AB127" i="17"/>
  <c r="AA127" i="17"/>
  <c r="Z127" i="17"/>
  <c r="Y127" i="17"/>
  <c r="X127" i="17"/>
  <c r="W127" i="17"/>
  <c r="V127" i="17"/>
  <c r="AI126" i="17"/>
  <c r="AH126" i="17"/>
  <c r="AG126" i="17"/>
  <c r="AF126" i="17"/>
  <c r="AE126" i="17"/>
  <c r="AD126" i="17"/>
  <c r="AC126" i="17"/>
  <c r="AB126" i="17"/>
  <c r="AA126" i="17"/>
  <c r="Z126" i="17"/>
  <c r="Y126" i="17"/>
  <c r="X126" i="17"/>
  <c r="W126" i="17"/>
  <c r="V126" i="17"/>
  <c r="Q126" i="17"/>
  <c r="AI125" i="17"/>
  <c r="AH125" i="17"/>
  <c r="AG125" i="17"/>
  <c r="AF125" i="17"/>
  <c r="AE125" i="17"/>
  <c r="AD125" i="17"/>
  <c r="AC125" i="17"/>
  <c r="AB125" i="17"/>
  <c r="AA125" i="17"/>
  <c r="Z125" i="17"/>
  <c r="Y125" i="17"/>
  <c r="X125" i="17"/>
  <c r="W125" i="17"/>
  <c r="V125" i="17"/>
  <c r="Q124" i="17"/>
  <c r="AI123" i="17"/>
  <c r="AH123" i="17"/>
  <c r="AG123" i="17"/>
  <c r="AF123" i="17"/>
  <c r="AE123" i="17"/>
  <c r="AD123" i="17"/>
  <c r="AC123" i="17"/>
  <c r="AB123" i="17"/>
  <c r="AA123" i="17"/>
  <c r="Z123" i="17"/>
  <c r="Y123" i="17"/>
  <c r="X123" i="17"/>
  <c r="W123" i="17"/>
  <c r="V123" i="17"/>
  <c r="Q123" i="17"/>
  <c r="Q125" i="17" s="1"/>
  <c r="AI119" i="17"/>
  <c r="AH119" i="17"/>
  <c r="AG119" i="17"/>
  <c r="AF119" i="17"/>
  <c r="AE119" i="17"/>
  <c r="AD119" i="17"/>
  <c r="AC119" i="17"/>
  <c r="AB119" i="17"/>
  <c r="AA119" i="17"/>
  <c r="Z119" i="17"/>
  <c r="Y119" i="17"/>
  <c r="X119" i="17"/>
  <c r="W119" i="17"/>
  <c r="V119" i="17"/>
  <c r="AI118" i="17"/>
  <c r="AH118" i="17"/>
  <c r="AG118" i="17"/>
  <c r="AF118" i="17"/>
  <c r="AE118" i="17"/>
  <c r="AD118" i="17"/>
  <c r="AC118" i="17"/>
  <c r="AB118" i="17"/>
  <c r="AA118" i="17"/>
  <c r="Z118" i="17"/>
  <c r="Y118" i="17"/>
  <c r="X118" i="17"/>
  <c r="W118" i="17"/>
  <c r="V118" i="17"/>
  <c r="Q118" i="17"/>
  <c r="AI117" i="17"/>
  <c r="AH117" i="17"/>
  <c r="AG117" i="17"/>
  <c r="AF117" i="17"/>
  <c r="AE117" i="17"/>
  <c r="AD117" i="17"/>
  <c r="AC117" i="17"/>
  <c r="AB117" i="17"/>
  <c r="AA117" i="17"/>
  <c r="Z117" i="17"/>
  <c r="Y117" i="17"/>
  <c r="X117" i="17"/>
  <c r="W117" i="17"/>
  <c r="V117" i="17"/>
  <c r="Q116" i="17"/>
  <c r="AI115" i="17"/>
  <c r="AH115" i="17"/>
  <c r="AG115" i="17"/>
  <c r="AF115" i="17"/>
  <c r="AE115" i="17"/>
  <c r="AD115" i="17"/>
  <c r="AC115" i="17"/>
  <c r="AB115" i="17"/>
  <c r="AA115" i="17"/>
  <c r="Z115" i="17"/>
  <c r="Y115" i="17"/>
  <c r="X115" i="17"/>
  <c r="W115" i="17"/>
  <c r="V115" i="17"/>
  <c r="Q115" i="17"/>
  <c r="AI111" i="17"/>
  <c r="AH111" i="17"/>
  <c r="AG111" i="17"/>
  <c r="AF111" i="17"/>
  <c r="AE111" i="17"/>
  <c r="AD111" i="17"/>
  <c r="AC111" i="17"/>
  <c r="AB111" i="17"/>
  <c r="AA111" i="17"/>
  <c r="Z111" i="17"/>
  <c r="Y111" i="17"/>
  <c r="X111" i="17"/>
  <c r="W111" i="17"/>
  <c r="V111" i="17"/>
  <c r="AI110" i="17"/>
  <c r="AH110" i="17"/>
  <c r="AG110" i="17"/>
  <c r="AF110" i="17"/>
  <c r="AE110" i="17"/>
  <c r="AD110" i="17"/>
  <c r="AC110" i="17"/>
  <c r="AB110" i="17"/>
  <c r="AA110" i="17"/>
  <c r="Z110" i="17"/>
  <c r="Y110" i="17"/>
  <c r="X110" i="17"/>
  <c r="W110" i="17"/>
  <c r="V110" i="17"/>
  <c r="Q110" i="17"/>
  <c r="AI109" i="17"/>
  <c r="AH109" i="17"/>
  <c r="AG109" i="17"/>
  <c r="AF109" i="17"/>
  <c r="AE109" i="17"/>
  <c r="AD109" i="17"/>
  <c r="AC109" i="17"/>
  <c r="AB109" i="17"/>
  <c r="AA109" i="17"/>
  <c r="Z109" i="17"/>
  <c r="Y109" i="17"/>
  <c r="X109" i="17"/>
  <c r="W109" i="17"/>
  <c r="V109" i="17"/>
  <c r="Q108" i="17"/>
  <c r="AI107" i="17"/>
  <c r="AH107" i="17"/>
  <c r="AG107" i="17"/>
  <c r="AF107" i="17"/>
  <c r="AE107" i="17"/>
  <c r="AD107" i="17"/>
  <c r="AC107" i="17"/>
  <c r="AB107" i="17"/>
  <c r="AA107" i="17"/>
  <c r="Z107" i="17"/>
  <c r="Y107" i="17"/>
  <c r="X107" i="17"/>
  <c r="W107" i="17"/>
  <c r="V107" i="17"/>
  <c r="Q107" i="17"/>
  <c r="Q109" i="17" s="1"/>
  <c r="AI103" i="17"/>
  <c r="AH103" i="17"/>
  <c r="AG103" i="17"/>
  <c r="AF103" i="17"/>
  <c r="AE103" i="17"/>
  <c r="AD103" i="17"/>
  <c r="AC103" i="17"/>
  <c r="AB103" i="17"/>
  <c r="AA103" i="17"/>
  <c r="Z103" i="17"/>
  <c r="Y103" i="17"/>
  <c r="X103" i="17"/>
  <c r="W103" i="17"/>
  <c r="V103" i="17"/>
  <c r="AI102" i="17"/>
  <c r="AH102" i="17"/>
  <c r="AG102" i="17"/>
  <c r="AF102" i="17"/>
  <c r="AE102" i="17"/>
  <c r="AD102" i="17"/>
  <c r="AC102" i="17"/>
  <c r="AB102" i="17"/>
  <c r="AA102" i="17"/>
  <c r="Z102" i="17"/>
  <c r="Y102" i="17"/>
  <c r="X102" i="17"/>
  <c r="W102" i="17"/>
  <c r="V102" i="17"/>
  <c r="Q102" i="17"/>
  <c r="AI101" i="17"/>
  <c r="AH101" i="17"/>
  <c r="AG101" i="17"/>
  <c r="AF101" i="17"/>
  <c r="AE101" i="17"/>
  <c r="AD101" i="17"/>
  <c r="AC101" i="17"/>
  <c r="AB101" i="17"/>
  <c r="AA101" i="17"/>
  <c r="Z101" i="17"/>
  <c r="Y101" i="17"/>
  <c r="X101" i="17"/>
  <c r="W101" i="17"/>
  <c r="V101" i="17"/>
  <c r="Q100" i="17"/>
  <c r="AI99" i="17"/>
  <c r="AH99" i="17"/>
  <c r="AG99" i="17"/>
  <c r="AF99" i="17"/>
  <c r="AE99" i="17"/>
  <c r="AD99" i="17"/>
  <c r="AC99" i="17"/>
  <c r="AB99" i="17"/>
  <c r="AA99" i="17"/>
  <c r="Z99" i="17"/>
  <c r="Y99" i="17"/>
  <c r="X99" i="17"/>
  <c r="W99" i="17"/>
  <c r="V99" i="17"/>
  <c r="Q99" i="17"/>
  <c r="AI95" i="17"/>
  <c r="AH95" i="17"/>
  <c r="AG95" i="17"/>
  <c r="AF95" i="17"/>
  <c r="AE95" i="17"/>
  <c r="AD95" i="17"/>
  <c r="AC95" i="17"/>
  <c r="AB95" i="17"/>
  <c r="AA95" i="17"/>
  <c r="Z95" i="17"/>
  <c r="Y95" i="17"/>
  <c r="X95" i="17"/>
  <c r="W95" i="17"/>
  <c r="V95" i="17"/>
  <c r="AI94" i="17"/>
  <c r="AH94" i="17"/>
  <c r="AG94" i="17"/>
  <c r="AF94" i="17"/>
  <c r="AE94" i="17"/>
  <c r="AD94" i="17"/>
  <c r="AC94" i="17"/>
  <c r="AB94" i="17"/>
  <c r="AA94" i="17"/>
  <c r="Z94" i="17"/>
  <c r="Y94" i="17"/>
  <c r="X94" i="17"/>
  <c r="W94" i="17"/>
  <c r="V94" i="17"/>
  <c r="Q94" i="17"/>
  <c r="AI93" i="17"/>
  <c r="AH93" i="17"/>
  <c r="AG93" i="17"/>
  <c r="AF93" i="17"/>
  <c r="AE93" i="17"/>
  <c r="AD93" i="17"/>
  <c r="AC93" i="17"/>
  <c r="AB93" i="17"/>
  <c r="AA93" i="17"/>
  <c r="Z93" i="17"/>
  <c r="Y93" i="17"/>
  <c r="X93" i="17"/>
  <c r="W93" i="17"/>
  <c r="V93" i="17"/>
  <c r="Q92" i="17"/>
  <c r="AI91" i="17"/>
  <c r="AH91" i="17"/>
  <c r="AG91" i="17"/>
  <c r="AF91" i="17"/>
  <c r="AE91" i="17"/>
  <c r="AD91" i="17"/>
  <c r="AC91" i="17"/>
  <c r="AB91" i="17"/>
  <c r="AA91" i="17"/>
  <c r="Z91" i="17"/>
  <c r="Y91" i="17"/>
  <c r="X91" i="17"/>
  <c r="W91" i="17"/>
  <c r="V91" i="17"/>
  <c r="Q91" i="17"/>
  <c r="Q93" i="17" s="1"/>
  <c r="AI87" i="17"/>
  <c r="AH87" i="17"/>
  <c r="AG87" i="17"/>
  <c r="AF87" i="17"/>
  <c r="AE87" i="17"/>
  <c r="AD87" i="17"/>
  <c r="AC87" i="17"/>
  <c r="AB87" i="17"/>
  <c r="AA87" i="17"/>
  <c r="Z87" i="17"/>
  <c r="Y87" i="17"/>
  <c r="X87" i="17"/>
  <c r="W87" i="17"/>
  <c r="V87" i="17"/>
  <c r="AI86" i="17"/>
  <c r="AH86" i="17"/>
  <c r="AG86" i="17"/>
  <c r="AF86" i="17"/>
  <c r="AE86" i="17"/>
  <c r="AD86" i="17"/>
  <c r="AC86" i="17"/>
  <c r="AB86" i="17"/>
  <c r="AA86" i="17"/>
  <c r="Z86" i="17"/>
  <c r="Y86" i="17"/>
  <c r="X86" i="17"/>
  <c r="W86" i="17"/>
  <c r="V86" i="17"/>
  <c r="Q86" i="17"/>
  <c r="AI85" i="17"/>
  <c r="AH85" i="17"/>
  <c r="AG85" i="17"/>
  <c r="AF85" i="17"/>
  <c r="AE85" i="17"/>
  <c r="AD85" i="17"/>
  <c r="AC85" i="17"/>
  <c r="AB85" i="17"/>
  <c r="AA85" i="17"/>
  <c r="Z85" i="17"/>
  <c r="Y85" i="17"/>
  <c r="X85" i="17"/>
  <c r="W85" i="17"/>
  <c r="V85" i="17"/>
  <c r="Q84" i="17"/>
  <c r="AI83" i="17"/>
  <c r="AH83" i="17"/>
  <c r="AG83" i="17"/>
  <c r="AF83" i="17"/>
  <c r="AE83" i="17"/>
  <c r="AD83" i="17"/>
  <c r="AC83" i="17"/>
  <c r="AB83" i="17"/>
  <c r="AA83" i="17"/>
  <c r="Z83" i="17"/>
  <c r="Y83" i="17"/>
  <c r="X83" i="17"/>
  <c r="W83" i="17"/>
  <c r="V83" i="17"/>
  <c r="Q83" i="17"/>
  <c r="AI79" i="17"/>
  <c r="AH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AI78" i="17"/>
  <c r="AH78" i="17"/>
  <c r="AG78" i="17"/>
  <c r="AF78" i="17"/>
  <c r="AE78" i="17"/>
  <c r="AD78" i="17"/>
  <c r="AC78" i="17"/>
  <c r="AB78" i="17"/>
  <c r="AA78" i="17"/>
  <c r="Z78" i="17"/>
  <c r="Y78" i="17"/>
  <c r="X78" i="17"/>
  <c r="W78" i="17"/>
  <c r="V78" i="17"/>
  <c r="Q78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Q76" i="17"/>
  <c r="AI75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Q75" i="17"/>
  <c r="Q77" i="17" s="1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AI70" i="17"/>
  <c r="AH70" i="17"/>
  <c r="AG70" i="17"/>
  <c r="AF70" i="17"/>
  <c r="AE70" i="17"/>
  <c r="AD70" i="17"/>
  <c r="AC70" i="17"/>
  <c r="AB70" i="17"/>
  <c r="AA70" i="17"/>
  <c r="Z70" i="17"/>
  <c r="Y70" i="17"/>
  <c r="X70" i="17"/>
  <c r="W70" i="17"/>
  <c r="V70" i="17"/>
  <c r="Q70" i="17"/>
  <c r="AI69" i="17"/>
  <c r="AH69" i="17"/>
  <c r="AG69" i="17"/>
  <c r="AF69" i="17"/>
  <c r="AE69" i="17"/>
  <c r="AD69" i="17"/>
  <c r="AC69" i="17"/>
  <c r="AB69" i="17"/>
  <c r="AA69" i="17"/>
  <c r="Z69" i="17"/>
  <c r="Y69" i="17"/>
  <c r="X69" i="17"/>
  <c r="W69" i="17"/>
  <c r="V69" i="17"/>
  <c r="Q68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Q67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AI62" i="17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Q62" i="17"/>
  <c r="AI61" i="17"/>
  <c r="AH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Q60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Q59" i="17"/>
  <c r="Q61" i="17" s="1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Q54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Q52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Q51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Q46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Q44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Q43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Q38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Q36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Q35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Q30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Q28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Q27" i="17"/>
  <c r="Q29" i="17" s="1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Q22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Q20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Q19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Q14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Q12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Q11" i="17"/>
  <c r="Q13" i="17" s="1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Q6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Q4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Q3" i="17"/>
  <c r="Q5" i="17" l="1"/>
  <c r="Q69" i="17"/>
  <c r="Q133" i="17"/>
  <c r="AJ13" i="17"/>
  <c r="AJ69" i="17"/>
  <c r="AJ125" i="17"/>
  <c r="AJ134" i="17"/>
  <c r="Q157" i="17"/>
  <c r="Q189" i="17"/>
  <c r="AJ189" i="17"/>
  <c r="AJ198" i="17"/>
  <c r="Q221" i="17"/>
  <c r="AJ85" i="17"/>
  <c r="AJ149" i="17"/>
  <c r="AJ213" i="17"/>
  <c r="Q21" i="17"/>
  <c r="AJ46" i="17"/>
  <c r="Q53" i="17"/>
  <c r="AJ110" i="17"/>
  <c r="AJ123" i="17"/>
  <c r="AJ174" i="17"/>
  <c r="AJ187" i="17"/>
  <c r="AJ238" i="17"/>
  <c r="AJ261" i="17"/>
  <c r="AJ270" i="17"/>
  <c r="Q277" i="17"/>
  <c r="AJ293" i="17"/>
  <c r="AJ302" i="17"/>
  <c r="AJ325" i="17"/>
  <c r="AJ334" i="17"/>
  <c r="Q341" i="17"/>
  <c r="AJ357" i="17"/>
  <c r="AJ366" i="17"/>
  <c r="AJ3" i="17"/>
  <c r="AJ29" i="17"/>
  <c r="AJ35" i="17"/>
  <c r="AJ39" i="17"/>
  <c r="Q45" i="17"/>
  <c r="AJ103" i="17"/>
  <c r="Q141" i="17"/>
  <c r="Q173" i="17"/>
  <c r="Q205" i="17"/>
  <c r="AJ231" i="17"/>
  <c r="Q237" i="17"/>
  <c r="AJ167" i="17"/>
  <c r="Q37" i="17"/>
  <c r="AJ43" i="17"/>
  <c r="AJ109" i="17"/>
  <c r="AJ133" i="17"/>
  <c r="AJ173" i="17"/>
  <c r="AJ182" i="17"/>
  <c r="AJ191" i="17"/>
  <c r="AJ197" i="17"/>
  <c r="AJ211" i="17"/>
  <c r="AJ222" i="17"/>
  <c r="Q229" i="17"/>
  <c r="AJ237" i="17"/>
  <c r="AJ246" i="17"/>
  <c r="AJ247" i="17"/>
  <c r="AJ251" i="17"/>
  <c r="AJ255" i="17"/>
  <c r="Q269" i="17"/>
  <c r="AJ269" i="17"/>
  <c r="AJ275" i="17"/>
  <c r="AJ278" i="17"/>
  <c r="AJ283" i="17"/>
  <c r="AJ287" i="17"/>
  <c r="Q301" i="17"/>
  <c r="AJ301" i="17"/>
  <c r="AJ310" i="17"/>
  <c r="AJ311" i="17"/>
  <c r="AJ315" i="17"/>
  <c r="AJ319" i="17"/>
  <c r="Q333" i="17"/>
  <c r="AJ333" i="17"/>
  <c r="AJ339" i="17"/>
  <c r="AJ342" i="17"/>
  <c r="AJ343" i="17"/>
  <c r="AJ347" i="17"/>
  <c r="AJ351" i="17"/>
  <c r="Q365" i="17"/>
  <c r="AJ365" i="17"/>
  <c r="AJ368" i="17" s="1"/>
  <c r="AJ23" i="17"/>
  <c r="AJ83" i="17"/>
  <c r="AJ94" i="17"/>
  <c r="AJ127" i="17"/>
  <c r="Q165" i="17"/>
  <c r="AJ5" i="17"/>
  <c r="AJ11" i="17"/>
  <c r="AJ21" i="17"/>
  <c r="AJ24" i="17" s="1"/>
  <c r="AJ27" i="17"/>
  <c r="AJ38" i="17"/>
  <c r="AJ53" i="17"/>
  <c r="AJ67" i="17"/>
  <c r="AJ71" i="17"/>
  <c r="AJ73" i="17" s="1"/>
  <c r="AJ78" i="17"/>
  <c r="AJ91" i="17"/>
  <c r="AJ93" i="17"/>
  <c r="AJ96" i="17" s="1"/>
  <c r="AJ102" i="17"/>
  <c r="AJ117" i="17"/>
  <c r="AJ142" i="17"/>
  <c r="AJ155" i="17"/>
  <c r="AJ157" i="17"/>
  <c r="AJ163" i="17"/>
  <c r="AJ166" i="17"/>
  <c r="AJ181" i="17"/>
  <c r="AJ199" i="17"/>
  <c r="AJ206" i="17"/>
  <c r="AJ219" i="17"/>
  <c r="AJ221" i="17"/>
  <c r="AJ225" i="17" s="1"/>
  <c r="AJ230" i="17"/>
  <c r="AJ245" i="17"/>
  <c r="AJ254" i="17"/>
  <c r="AJ277" i="17"/>
  <c r="AJ280" i="17" s="1"/>
  <c r="AJ286" i="17"/>
  <c r="Q293" i="17"/>
  <c r="AJ309" i="17"/>
  <c r="AJ318" i="17"/>
  <c r="Q325" i="17"/>
  <c r="AJ341" i="17"/>
  <c r="AJ350" i="17"/>
  <c r="Q357" i="17"/>
  <c r="AJ19" i="17"/>
  <c r="AJ6" i="17"/>
  <c r="AJ7" i="17"/>
  <c r="AJ22" i="17"/>
  <c r="AJ54" i="17"/>
  <c r="Q101" i="17"/>
  <c r="AJ118" i="17"/>
  <c r="AJ158" i="17"/>
  <c r="AJ14" i="17"/>
  <c r="AJ15" i="17"/>
  <c r="AJ30" i="17"/>
  <c r="AJ31" i="17"/>
  <c r="AJ37" i="17"/>
  <c r="AJ40" i="17" s="1"/>
  <c r="AJ51" i="17"/>
  <c r="AJ55" i="17"/>
  <c r="AJ70" i="17"/>
  <c r="AJ72" i="17" s="1"/>
  <c r="AJ77" i="17"/>
  <c r="AJ86" i="17"/>
  <c r="AJ95" i="17"/>
  <c r="AJ101" i="17"/>
  <c r="AJ105" i="17" s="1"/>
  <c r="AJ115" i="17"/>
  <c r="AJ126" i="17"/>
  <c r="AJ141" i="17"/>
  <c r="AJ150" i="17"/>
  <c r="AJ152" i="17" s="1"/>
  <c r="AJ151" i="17"/>
  <c r="AJ159" i="17"/>
  <c r="AJ161" i="17" s="1"/>
  <c r="AJ165" i="17"/>
  <c r="AJ168" i="17" s="1"/>
  <c r="AJ190" i="17"/>
  <c r="AJ192" i="17" s="1"/>
  <c r="Q197" i="17"/>
  <c r="AJ205" i="17"/>
  <c r="AJ208" i="17" s="1"/>
  <c r="AJ214" i="17"/>
  <c r="AJ223" i="17"/>
  <c r="AJ229" i="17"/>
  <c r="AJ232" i="17" s="1"/>
  <c r="AJ239" i="17"/>
  <c r="AJ241" i="17" s="1"/>
  <c r="Q253" i="17"/>
  <c r="AJ253" i="17"/>
  <c r="AJ257" i="17" s="1"/>
  <c r="AJ259" i="17"/>
  <c r="AJ262" i="17"/>
  <c r="AJ264" i="17" s="1"/>
  <c r="AJ267" i="17"/>
  <c r="AJ271" i="17"/>
  <c r="AJ273" i="17" s="1"/>
  <c r="Q285" i="17"/>
  <c r="AJ285" i="17"/>
  <c r="AJ288" i="17" s="1"/>
  <c r="AJ294" i="17"/>
  <c r="AJ295" i="17"/>
  <c r="AJ297" i="17" s="1"/>
  <c r="AJ299" i="17"/>
  <c r="AJ303" i="17"/>
  <c r="Q317" i="17"/>
  <c r="AJ317" i="17"/>
  <c r="AJ321" i="17" s="1"/>
  <c r="AJ323" i="17"/>
  <c r="AJ326" i="17"/>
  <c r="AJ328" i="17" s="1"/>
  <c r="AJ327" i="17"/>
  <c r="AJ331" i="17"/>
  <c r="AJ335" i="17"/>
  <c r="AJ337" i="17" s="1"/>
  <c r="Q349" i="17"/>
  <c r="AJ349" i="17"/>
  <c r="AJ352" i="17" s="1"/>
  <c r="AJ355" i="17"/>
  <c r="AJ358" i="17"/>
  <c r="AJ360" i="17" s="1"/>
  <c r="AJ359" i="17"/>
  <c r="AJ361" i="17" s="1"/>
  <c r="AJ363" i="17"/>
  <c r="AJ367" i="17"/>
  <c r="AJ16" i="17"/>
  <c r="AJ17" i="17"/>
  <c r="AJ88" i="17"/>
  <c r="AJ153" i="17"/>
  <c r="AJ296" i="17"/>
  <c r="AJ136" i="17"/>
  <c r="AJ201" i="17"/>
  <c r="AJ200" i="17"/>
  <c r="AJ9" i="17"/>
  <c r="AJ25" i="17"/>
  <c r="AJ41" i="17"/>
  <c r="AJ57" i="17"/>
  <c r="AJ184" i="17"/>
  <c r="AJ249" i="17"/>
  <c r="AJ313" i="17"/>
  <c r="AJ32" i="17"/>
  <c r="AJ169" i="17"/>
  <c r="AJ160" i="17"/>
  <c r="AJ193" i="17"/>
  <c r="AJ272" i="17"/>
  <c r="AJ329" i="17"/>
  <c r="AJ45" i="17"/>
  <c r="AJ62" i="17"/>
  <c r="Q85" i="17"/>
  <c r="Q117" i="17"/>
  <c r="Q149" i="17"/>
  <c r="Q181" i="17"/>
  <c r="Q213" i="17"/>
  <c r="Q245" i="17"/>
  <c r="AJ263" i="17"/>
  <c r="AJ265" i="17" s="1"/>
  <c r="AJ289" i="17"/>
  <c r="AJ291" i="17"/>
  <c r="Q309" i="17"/>
  <c r="AJ336" i="17"/>
  <c r="AJ129" i="17"/>
  <c r="AJ47" i="17"/>
  <c r="AJ59" i="17"/>
  <c r="AJ61" i="17"/>
  <c r="AJ75" i="17"/>
  <c r="AJ80" i="17"/>
  <c r="AJ87" i="17"/>
  <c r="AJ89" i="17" s="1"/>
  <c r="AJ99" i="17"/>
  <c r="AJ107" i="17"/>
  <c r="AJ112" i="17"/>
  <c r="AJ119" i="17"/>
  <c r="AJ131" i="17"/>
  <c r="AJ135" i="17"/>
  <c r="AJ137" i="17" s="1"/>
  <c r="AJ139" i="17"/>
  <c r="AJ144" i="17"/>
  <c r="AJ147" i="17"/>
  <c r="AJ171" i="17"/>
  <c r="AJ176" i="17"/>
  <c r="AJ179" i="17"/>
  <c r="AJ183" i="17"/>
  <c r="AJ195" i="17"/>
  <c r="AJ203" i="17"/>
  <c r="AJ215" i="17"/>
  <c r="AJ217" i="17" s="1"/>
  <c r="AJ227" i="17"/>
  <c r="AJ235" i="17"/>
  <c r="AJ240" i="17"/>
  <c r="AJ243" i="17"/>
  <c r="Q261" i="17"/>
  <c r="AJ279" i="17"/>
  <c r="AJ305" i="17"/>
  <c r="AJ304" i="17"/>
  <c r="AJ307" i="17"/>
  <c r="AJ344" i="17"/>
  <c r="AJ63" i="17"/>
  <c r="AJ79" i="17"/>
  <c r="AJ81" i="17" s="1"/>
  <c r="AJ111" i="17"/>
  <c r="AJ143" i="17"/>
  <c r="AJ175" i="17"/>
  <c r="AJ177" i="17" s="1"/>
  <c r="AJ207" i="17"/>
  <c r="AJ209" i="17" s="1"/>
  <c r="AJ353" i="17"/>
  <c r="AJ224" i="17" l="1"/>
  <c r="AJ104" i="17"/>
  <c r="AJ128" i="17"/>
  <c r="AJ345" i="17"/>
  <c r="AJ248" i="17"/>
  <c r="AJ8" i="17"/>
  <c r="AJ320" i="17"/>
  <c r="AJ185" i="17"/>
  <c r="AJ33" i="17"/>
  <c r="AJ369" i="17"/>
  <c r="AJ113" i="17"/>
  <c r="AJ281" i="17"/>
  <c r="AJ121" i="17"/>
  <c r="AJ233" i="17"/>
  <c r="AJ216" i="17"/>
  <c r="AJ97" i="17"/>
  <c r="AJ120" i="17"/>
  <c r="AJ312" i="17"/>
  <c r="AJ256" i="17"/>
  <c r="AJ56" i="17"/>
  <c r="AJ145" i="17"/>
  <c r="AJ48" i="17"/>
  <c r="AJ49" i="17"/>
  <c r="AJ64" i="17"/>
  <c r="AJ65" i="17"/>
</calcChain>
</file>

<file path=xl/sharedStrings.xml><?xml version="1.0" encoding="utf-8"?>
<sst xmlns="http://schemas.openxmlformats.org/spreadsheetml/2006/main" count="4600" uniqueCount="342">
  <si>
    <t>File ID</t>
  </si>
  <si>
    <t>Mouse ID</t>
  </si>
  <si>
    <t>mouse #1LL 006</t>
  </si>
  <si>
    <t>Both</t>
  </si>
  <si>
    <t>Left</t>
  </si>
  <si>
    <t>Right</t>
  </si>
  <si>
    <t>Total Volume</t>
  </si>
  <si>
    <t>Appereance</t>
  </si>
  <si>
    <t>Behaviour</t>
  </si>
  <si>
    <t>Neuroscore</t>
  </si>
  <si>
    <t>W 0</t>
  </si>
  <si>
    <t>W 1</t>
  </si>
  <si>
    <t>W 2</t>
  </si>
  <si>
    <t>W 3</t>
  </si>
  <si>
    <t>W 4</t>
  </si>
  <si>
    <t>W 5</t>
  </si>
  <si>
    <t>Ap 1</t>
  </si>
  <si>
    <t>Ap 2</t>
  </si>
  <si>
    <t>Ap 3</t>
  </si>
  <si>
    <t>Ap 4</t>
  </si>
  <si>
    <t>Ap 5</t>
  </si>
  <si>
    <t>B 1</t>
  </si>
  <si>
    <t>B 2</t>
  </si>
  <si>
    <t>B 3</t>
  </si>
  <si>
    <t>B 4</t>
  </si>
  <si>
    <t>B 5</t>
  </si>
  <si>
    <t>NS 1</t>
  </si>
  <si>
    <t>NS 2</t>
  </si>
  <si>
    <t>NS 3</t>
  </si>
  <si>
    <t>NS 4</t>
  </si>
  <si>
    <t>NS 5</t>
  </si>
  <si>
    <t>left/right</t>
  </si>
  <si>
    <t>Section Distance (mm)</t>
  </si>
  <si>
    <t>Column1</t>
  </si>
  <si>
    <t>Column2</t>
  </si>
  <si>
    <t>M=22/02 #41</t>
  </si>
  <si>
    <t>M=22/02 #42</t>
  </si>
  <si>
    <t>M=22/02 #49</t>
  </si>
  <si>
    <t>M=22/02 #50</t>
  </si>
  <si>
    <t>M=22/02 #44</t>
  </si>
  <si>
    <t>M=22/02 #45</t>
  </si>
  <si>
    <t>M=22/02 #46</t>
  </si>
  <si>
    <t>M=22/02 #54</t>
  </si>
  <si>
    <t>M=22/02 #55</t>
  </si>
  <si>
    <t>M=22/02 #53</t>
  </si>
  <si>
    <t>M=22/02 #56</t>
  </si>
  <si>
    <t>M=22/02 #57</t>
  </si>
  <si>
    <t>M=22/02 #58</t>
  </si>
  <si>
    <t>M=22/02 #59</t>
  </si>
  <si>
    <t>M=22/02 #60</t>
  </si>
  <si>
    <t>M=22/02 #61</t>
  </si>
  <si>
    <t>M=22/02 #62</t>
  </si>
  <si>
    <t>M=22/02 #63</t>
  </si>
  <si>
    <t>M=22/02 #64</t>
  </si>
  <si>
    <t>M=22/02 #65</t>
  </si>
  <si>
    <t>M=22/02 #66</t>
  </si>
  <si>
    <t>M=22/02 #70</t>
  </si>
  <si>
    <t>M=08/03 #21</t>
  </si>
  <si>
    <t>M=08/03 #23</t>
  </si>
  <si>
    <t>M=08/03 #24</t>
  </si>
  <si>
    <t>M=08/03 #13</t>
  </si>
  <si>
    <t>M=08/03 #14</t>
  </si>
  <si>
    <t>M=08/03 #15</t>
  </si>
  <si>
    <t>M=08/03 #16</t>
  </si>
  <si>
    <t>M=08/03 #17</t>
  </si>
  <si>
    <t>M=08/03 #18</t>
  </si>
  <si>
    <t>M=08/03 #19</t>
  </si>
  <si>
    <t>M=08/03 #20</t>
  </si>
  <si>
    <t>M=22/02 #69</t>
  </si>
  <si>
    <t>M=08/03 #25</t>
  </si>
  <si>
    <t>M=08/03 #26</t>
  </si>
  <si>
    <t>M=19/054</t>
  </si>
  <si>
    <t>M=19/055</t>
  </si>
  <si>
    <t>M=08/03 #27</t>
  </si>
  <si>
    <t>M=08/03 #28</t>
  </si>
  <si>
    <t>M=08/03 #29</t>
  </si>
  <si>
    <t>M=08/03 #31</t>
  </si>
  <si>
    <t>M=08/03 #32</t>
  </si>
  <si>
    <t>M=19/059</t>
  </si>
  <si>
    <t>M=19/061</t>
  </si>
  <si>
    <t>M=19/062</t>
  </si>
  <si>
    <t>7 days</t>
  </si>
  <si>
    <t>W 6</t>
  </si>
  <si>
    <t>W 7</t>
  </si>
  <si>
    <t>Ap 6</t>
  </si>
  <si>
    <t>Ap 7</t>
  </si>
  <si>
    <t>B 6</t>
  </si>
  <si>
    <t>B 7</t>
  </si>
  <si>
    <t>NS 6</t>
  </si>
  <si>
    <t>NS 7</t>
  </si>
  <si>
    <t>Study</t>
  </si>
  <si>
    <t>pMCAO</t>
  </si>
  <si>
    <t>Procedure</t>
  </si>
  <si>
    <t>Surgeon</t>
  </si>
  <si>
    <t>Housing</t>
  </si>
  <si>
    <r>
      <t>Area (mm</t>
    </r>
    <r>
      <rPr>
        <vertAlign val="superscript"/>
        <sz val="18"/>
        <rFont val="Calibri"/>
        <family val="2"/>
        <scheme val="minor"/>
      </rPr>
      <t>2</t>
    </r>
    <r>
      <rPr>
        <sz val="18"/>
        <rFont val="Calibri"/>
        <family val="2"/>
        <scheme val="minor"/>
      </rPr>
      <t>)</t>
    </r>
  </si>
  <si>
    <r>
      <t>Volume (mm</t>
    </r>
    <r>
      <rPr>
        <vertAlign val="superscript"/>
        <sz val="18"/>
        <rFont val="Calibri"/>
        <family val="2"/>
        <scheme val="minor"/>
      </rPr>
      <t>3</t>
    </r>
    <r>
      <rPr>
        <sz val="18"/>
        <rFont val="Calibri"/>
        <family val="2"/>
        <scheme val="minor"/>
      </rPr>
      <t>)</t>
    </r>
  </si>
  <si>
    <t>Notes</t>
  </si>
  <si>
    <t>Lesion</t>
  </si>
  <si>
    <t>Contralateral Hemisphere</t>
  </si>
  <si>
    <t>Ipsilateral Hemisphere</t>
  </si>
  <si>
    <t>Healthy Ipsilateral Hemisphere</t>
  </si>
  <si>
    <t>Oedema if + contraction if -</t>
  </si>
  <si>
    <t>Tissue Loss</t>
  </si>
  <si>
    <t>#sections of lesion</t>
  </si>
  <si>
    <t>cortex</t>
  </si>
  <si>
    <t>cortex + CC</t>
  </si>
  <si>
    <t xml:space="preserve">total sections of brain </t>
  </si>
  <si>
    <t>M=22/02 41UR (Slide 5)</t>
  </si>
  <si>
    <t># slides</t>
  </si>
  <si>
    <t>Area Affected</t>
  </si>
  <si>
    <t>Cortex</t>
  </si>
  <si>
    <t>Cortex, CC</t>
  </si>
  <si>
    <t>sections</t>
  </si>
  <si>
    <t>Healthy  Ipsilateral Hemisphere</t>
  </si>
  <si>
    <t>Oedema</t>
  </si>
  <si>
    <t>M=22/02 42UL (Slide 2)</t>
  </si>
  <si>
    <t>Cortex, CC (small)</t>
  </si>
  <si>
    <t>M=22/02 #44 (slide 3)</t>
  </si>
  <si>
    <t>Some bleeding in lesioned area</t>
  </si>
  <si>
    <t>M=22/02 #45 (Slide 2)</t>
  </si>
  <si>
    <t>Cortex, touched CC</t>
  </si>
  <si>
    <t>M=22/02 #46 (Slide 3)</t>
  </si>
  <si>
    <t>Bleeding at the edge of the lesioned area</t>
  </si>
  <si>
    <t>M=22/02 49MR (slide 3)</t>
  </si>
  <si>
    <t>Cortex, Cc</t>
  </si>
  <si>
    <t xml:space="preserve">Cortex, Cc  </t>
  </si>
  <si>
    <t>M=22/02 50ML (slide 2)</t>
  </si>
  <si>
    <t>Cortex, cc</t>
  </si>
  <si>
    <t>M=22/02 #53 (Slide 2)</t>
  </si>
  <si>
    <t>M=22/02 #54 (Slide 2)</t>
  </si>
  <si>
    <t>Cortex, CC, subcortical</t>
  </si>
  <si>
    <t>M=22/02 #55 (Slide 3)</t>
  </si>
  <si>
    <t>M=22/02 #56 (slide 1)</t>
  </si>
  <si>
    <t>Bleeding in lesioned area</t>
  </si>
  <si>
    <t>M=22/02 #57 (Slide 6)</t>
  </si>
  <si>
    <t>cortex, CC</t>
  </si>
  <si>
    <t>M=22/02 #58 (Slide 2)</t>
  </si>
  <si>
    <t>M=22/02 #59LL (slide 4)</t>
  </si>
  <si>
    <t>M=22/02 #60 (Slide 2)</t>
  </si>
  <si>
    <t>Cortex, CC, Subcortical</t>
  </si>
  <si>
    <t>Large bleeding in lesion area and at lesion edge</t>
  </si>
  <si>
    <t>M=22/02 #61 (Slide 8)</t>
  </si>
  <si>
    <t>Bleeding around lesion edge</t>
  </si>
  <si>
    <t>M=22/02 #62 (Slide 2)</t>
  </si>
  <si>
    <t>Cortex, little CC</t>
  </si>
  <si>
    <t>M=22/02 #63 (Slide 1)</t>
  </si>
  <si>
    <t>M=22/02 #64 (Slide 4)</t>
  </si>
  <si>
    <t>M=22/02 #65 (Slide 5)</t>
  </si>
  <si>
    <t>M=22/02 #66 (Slide 10)</t>
  </si>
  <si>
    <t>M=22/02 #69 (Slide 4)</t>
  </si>
  <si>
    <t>M=22/02 #70 (Slide 5)</t>
  </si>
  <si>
    <t>M=08/03 #13 (Slide 7)</t>
  </si>
  <si>
    <t>Cortex,CC, subcortical</t>
  </si>
  <si>
    <t>M=08/03 #14 (Slide 8)</t>
  </si>
  <si>
    <t>M=08/03 #15 (Slide 2)</t>
  </si>
  <si>
    <t>M=08/03 #16 (Slide 7)</t>
  </si>
  <si>
    <t>M=08/03 #17 (Slide 2)</t>
  </si>
  <si>
    <t>M=08/03 #18 (Slide 10)</t>
  </si>
  <si>
    <t>M=08/03 #19 (slide 4)</t>
  </si>
  <si>
    <t>M=08/03 #20 (Slide 8)</t>
  </si>
  <si>
    <t>Cortex, cc, subcortical</t>
  </si>
  <si>
    <t>M=08/03 #21 (Slide 8)</t>
  </si>
  <si>
    <t>Some bleeding at edge of lesioned area</t>
  </si>
  <si>
    <t>M=08/03 #23 (Slide 4)</t>
  </si>
  <si>
    <t>Some bleeding at lesioned area</t>
  </si>
  <si>
    <t>M=08/03 #24 (Slide 5)</t>
  </si>
  <si>
    <t>M=08/03 #25 (Slide 8)</t>
  </si>
  <si>
    <t>M=08/03 #26 (Slide 9)</t>
  </si>
  <si>
    <t>M=08/03 #27 (Slide 1)</t>
  </si>
  <si>
    <t>cortex, CC, subcortical</t>
  </si>
  <si>
    <t>M=08/03 #28 (Slide 3)</t>
  </si>
  <si>
    <t>M=08/03 #29 (slide 1)</t>
  </si>
  <si>
    <t>M=08/03 #31 (Slide 7)</t>
  </si>
  <si>
    <t>M=08/03 #32 (Slide 3)</t>
  </si>
  <si>
    <t>M=19/054 (Slide 2)</t>
  </si>
  <si>
    <t>M=19/055 (Slide 6)</t>
  </si>
  <si>
    <t>M=19/059 (Slide 9)</t>
  </si>
  <si>
    <t>M=19/061 (Slide 1)</t>
  </si>
  <si>
    <t>M=19/062 (Slide 10)</t>
  </si>
  <si>
    <t>Treatment</t>
  </si>
  <si>
    <t>1mg</t>
  </si>
  <si>
    <t>Saline</t>
  </si>
  <si>
    <t>0.5mg</t>
  </si>
  <si>
    <t>(ipsi-contra) /contra *100</t>
  </si>
  <si>
    <t>(contra-ipsi) /contra *100</t>
  </si>
  <si>
    <t>Contra-healthe ipsi</t>
  </si>
  <si>
    <t xml:space="preserve">Cortex  </t>
  </si>
  <si>
    <t xml:space="preserve"> </t>
  </si>
  <si>
    <t>right/left</t>
  </si>
  <si>
    <t>Counts</t>
  </si>
  <si>
    <t>Spleen</t>
  </si>
  <si>
    <t>Blood</t>
  </si>
  <si>
    <t>Group</t>
  </si>
  <si>
    <t>CD3</t>
  </si>
  <si>
    <t>CD4</t>
  </si>
  <si>
    <t>CD8</t>
  </si>
  <si>
    <t>CD4:CD8</t>
  </si>
  <si>
    <t>CD25</t>
  </si>
  <si>
    <t>FOXP3</t>
  </si>
  <si>
    <t>Treg</t>
  </si>
  <si>
    <t>CD3-2</t>
  </si>
  <si>
    <t>CD4-2</t>
  </si>
  <si>
    <t>CD8-2</t>
  </si>
  <si>
    <t>CD4:CD8-2</t>
  </si>
  <si>
    <t>CD25-2</t>
  </si>
  <si>
    <t>FOXP3-2</t>
  </si>
  <si>
    <t>Treg-2</t>
  </si>
  <si>
    <t>CD3-3</t>
  </si>
  <si>
    <t>CD4-3</t>
  </si>
  <si>
    <t>CD8-3</t>
  </si>
  <si>
    <t>CD4:CD8-3</t>
  </si>
  <si>
    <t>CD25-3</t>
  </si>
  <si>
    <t>FOXP3-3</t>
  </si>
  <si>
    <t>Treg-3</t>
  </si>
  <si>
    <t>CD3-4</t>
  </si>
  <si>
    <t>CD4-4</t>
  </si>
  <si>
    <t>CD8-4</t>
  </si>
  <si>
    <t>CD4:CD8-4</t>
  </si>
  <si>
    <t>CD25-4</t>
  </si>
  <si>
    <t>FOXP3-4</t>
  </si>
  <si>
    <t>Treg-4</t>
  </si>
  <si>
    <t>CD45 C1</t>
  </si>
  <si>
    <t>CD3 C1</t>
  </si>
  <si>
    <t>CD4 C1</t>
  </si>
  <si>
    <t>CD8 C1</t>
  </si>
  <si>
    <t>Treg C1</t>
  </si>
  <si>
    <t>CD45 C2</t>
  </si>
  <si>
    <t>CD3 C2</t>
  </si>
  <si>
    <t>CD4 C2</t>
  </si>
  <si>
    <t>CD8 C2</t>
  </si>
  <si>
    <t>Treg C2</t>
  </si>
  <si>
    <t>CD45 C3</t>
  </si>
  <si>
    <t>CD3 C3</t>
  </si>
  <si>
    <t>CD4 C3</t>
  </si>
  <si>
    <t>CD8 C3</t>
  </si>
  <si>
    <t>Treg C3</t>
  </si>
  <si>
    <t>CD45 C4</t>
  </si>
  <si>
    <t>CD3 C4</t>
  </si>
  <si>
    <t>CD4 C4</t>
  </si>
  <si>
    <t>CD8 C4</t>
  </si>
  <si>
    <t>Treg C4</t>
  </si>
  <si>
    <t>Male</t>
  </si>
  <si>
    <t>pMCAO Naïve</t>
  </si>
  <si>
    <t>Jennifer</t>
  </si>
  <si>
    <t>Female</t>
  </si>
  <si>
    <t>Sham pMCAO</t>
  </si>
  <si>
    <t>Sex</t>
  </si>
  <si>
    <t>Euthanasia</t>
  </si>
  <si>
    <t>Young</t>
  </si>
  <si>
    <t>Sham</t>
  </si>
  <si>
    <t>Aged</t>
  </si>
  <si>
    <t>Time point</t>
  </si>
  <si>
    <t>M=10/01 #27</t>
  </si>
  <si>
    <t>M=10/01 #31</t>
  </si>
  <si>
    <t>M=10/01 #32</t>
  </si>
  <si>
    <t>M=10/01 #33</t>
  </si>
  <si>
    <t>M=10/01 #35</t>
  </si>
  <si>
    <t>M=10/01 #36</t>
  </si>
  <si>
    <t>M=10/01 #28</t>
  </si>
  <si>
    <t>M=10/01 #12</t>
  </si>
  <si>
    <t>M=10/01 #29</t>
  </si>
  <si>
    <t>M=10/01 #30</t>
  </si>
  <si>
    <t>M=10/01 #17</t>
  </si>
  <si>
    <t>M=10/01 #18</t>
  </si>
  <si>
    <t>M=10/01 #39</t>
  </si>
  <si>
    <t>M=10/01 #34</t>
  </si>
  <si>
    <t>M=10/01 #37</t>
  </si>
  <si>
    <t>M=10/01 #38</t>
  </si>
  <si>
    <t>M=10/01 #14</t>
  </si>
  <si>
    <t>M=10/01 #20</t>
  </si>
  <si>
    <t>M=10/01 #10</t>
  </si>
  <si>
    <t>M=10/01 #21</t>
  </si>
  <si>
    <t>M=10/01 #22</t>
  </si>
  <si>
    <t>M=10/01 #11</t>
  </si>
  <si>
    <t>M=10/01 #40</t>
  </si>
  <si>
    <t>M=10/01 #13</t>
  </si>
  <si>
    <t>M=10/01 #15</t>
  </si>
  <si>
    <t>M=10/01 #23</t>
  </si>
  <si>
    <t>M=10/01 #41</t>
  </si>
  <si>
    <t>M=10/01 #42</t>
  </si>
  <si>
    <t>M=28/11 #17</t>
  </si>
  <si>
    <t>M=28/11 #20</t>
  </si>
  <si>
    <t>M=28/11 #21</t>
  </si>
  <si>
    <t>M=28/11 #23</t>
  </si>
  <si>
    <t>M=28/11 #11</t>
  </si>
  <si>
    <t>M=28/11 #16</t>
  </si>
  <si>
    <t>M=28/11 #28</t>
  </si>
  <si>
    <t>M=28/11 #18</t>
  </si>
  <si>
    <t>M=28/11 #19</t>
  </si>
  <si>
    <t>M=28/11 #22</t>
  </si>
  <si>
    <t>M=28/11 #14</t>
  </si>
  <si>
    <t>M=28/11 #29</t>
  </si>
  <si>
    <t>M=28/11 #24</t>
  </si>
  <si>
    <t>M=28/11 #25</t>
  </si>
  <si>
    <t>M=28/11 #26</t>
  </si>
  <si>
    <t>M=28/11 #30</t>
  </si>
  <si>
    <t>M=28/11 #10</t>
  </si>
  <si>
    <t>M=28/11 #12</t>
  </si>
  <si>
    <t>M=28/11 #13</t>
  </si>
  <si>
    <t>M=28/11 #27</t>
  </si>
  <si>
    <t>*Data to be added as available*</t>
  </si>
  <si>
    <t>pMCAO/Naïve/Sham</t>
  </si>
  <si>
    <t>0 days</t>
  </si>
  <si>
    <t>Mouse Weight</t>
  </si>
  <si>
    <t>Cervical Lymph Node</t>
  </si>
  <si>
    <t>Inguinal Lymph Node</t>
  </si>
  <si>
    <t>Frequencies</t>
  </si>
  <si>
    <t>Age at Arrival (weeks)</t>
  </si>
  <si>
    <t>Time Alive (days)</t>
  </si>
  <si>
    <t>Mouse ID </t>
  </si>
  <si>
    <t>Arrival Date or DOB</t>
  </si>
  <si>
    <t>Procedure Date </t>
  </si>
  <si>
    <t>Age at Procedure (weeks)</t>
  </si>
  <si>
    <t>Surgery Start Time (HH:MM:SS)</t>
  </si>
  <si>
    <t>Surgery End Time (HH:MM:SS)</t>
  </si>
  <si>
    <t>M=10/01 #01</t>
  </si>
  <si>
    <t>M=10/01 #02</t>
  </si>
  <si>
    <t>M=10/01 #03</t>
  </si>
  <si>
    <t>M=10/01 #04</t>
  </si>
  <si>
    <t>M=10/01 #05</t>
  </si>
  <si>
    <t>M=10/01 #06</t>
  </si>
  <si>
    <t>M=10/01 #07</t>
  </si>
  <si>
    <t>M=10/01 #08</t>
  </si>
  <si>
    <t>M=10/01 #09</t>
  </si>
  <si>
    <t>M=10/01 #19</t>
  </si>
  <si>
    <t>M=28/11 #02</t>
  </si>
  <si>
    <t>M=28/11 #03</t>
  </si>
  <si>
    <t>M=28/11 #04</t>
  </si>
  <si>
    <t>M=28/11 #05</t>
  </si>
  <si>
    <t>M=28/11 #06</t>
  </si>
  <si>
    <t>M=28/11 #07</t>
  </si>
  <si>
    <t>M=28/11 #08</t>
  </si>
  <si>
    <t>M=28/11 #09</t>
  </si>
  <si>
    <t>Naïve</t>
  </si>
  <si>
    <t>pMCAO/Sham</t>
  </si>
  <si>
    <t xml:space="preserve">3 days </t>
  </si>
  <si>
    <t>Sum</t>
  </si>
  <si>
    <t xml:space="preserve">Age </t>
  </si>
  <si>
    <t>Body Temp (°C)</t>
  </si>
  <si>
    <t>*Excluded from study for reaching humane endpoint</t>
  </si>
  <si>
    <t>Surgery Duration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</si>
</sst>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€&quot;* #,##0.00_);_(&quot;€&quot;* \(#,##0.00\);_(&quot;€&quot;* &quot;-&quot;??_);_(@_)"/>
    <numFmt numFmtId="165" formatCode="0.0"/>
    <numFmt numFmtId="166" formatCode="0.000"/>
    <numFmt numFmtId="167" formatCode="hh:mm:ss;@"/>
    <numFmt numFmtId="168" formatCode="#,##0.00_ ;\-#,##0.00\ "/>
    <numFmt numFmtId="169" formatCode="#,##0_ ;\-#,##0\ 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8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2" fontId="2" fillId="0" borderId="6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right"/>
    </xf>
    <xf numFmtId="0" fontId="2" fillId="0" borderId="1" xfId="0" applyFont="1" applyBorder="1" applyAlignment="1">
      <alignment vertical="center" wrapText="1"/>
    </xf>
    <xf numFmtId="2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2" fillId="0" borderId="5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right"/>
    </xf>
    <xf numFmtId="2" fontId="9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right"/>
    </xf>
    <xf numFmtId="2" fontId="2" fillId="0" borderId="6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166" fontId="2" fillId="0" borderId="0" xfId="0" applyNumberFormat="1" applyFont="1" applyFill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" fontId="0" fillId="0" borderId="17" xfId="0" applyNumberFormat="1" applyFont="1" applyBorder="1" applyAlignment="1">
      <alignment horizontal="center" vertical="center"/>
    </xf>
    <xf numFmtId="167" fontId="0" fillId="0" borderId="17" xfId="3" applyNumberFormat="1" applyFont="1" applyBorder="1" applyAlignment="1">
      <alignment horizontal="center" vertical="center"/>
    </xf>
    <xf numFmtId="165" fontId="0" fillId="0" borderId="18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" fontId="0" fillId="0" borderId="20" xfId="0" applyNumberFormat="1" applyFont="1" applyBorder="1" applyAlignment="1">
      <alignment horizontal="center" vertical="center"/>
    </xf>
    <xf numFmtId="167" fontId="0" fillId="0" borderId="20" xfId="0" applyNumberFormat="1" applyFont="1" applyBorder="1" applyAlignment="1">
      <alignment horizontal="center" vertical="center"/>
    </xf>
    <xf numFmtId="165" fontId="0" fillId="0" borderId="21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165" fontId="0" fillId="0" borderId="20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165" fontId="7" fillId="0" borderId="34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65" fontId="0" fillId="0" borderId="17" xfId="0" applyNumberFormat="1" applyFont="1" applyBorder="1" applyAlignment="1">
      <alignment horizontal="center" vertical="center"/>
    </xf>
    <xf numFmtId="168" fontId="0" fillId="0" borderId="17" xfId="2" applyNumberFormat="1" applyFont="1" applyFill="1" applyBorder="1" applyAlignment="1">
      <alignment horizontal="center" vertical="center"/>
    </xf>
    <xf numFmtId="168" fontId="13" fillId="11" borderId="17" xfId="2" applyNumberFormat="1" applyFont="1" applyFill="1" applyBorder="1" applyAlignment="1">
      <alignment horizontal="center" vertical="center"/>
    </xf>
    <xf numFmtId="168" fontId="0" fillId="11" borderId="17" xfId="2" applyNumberFormat="1" applyFont="1" applyFill="1" applyBorder="1" applyAlignment="1">
      <alignment horizontal="center" vertical="center"/>
    </xf>
    <xf numFmtId="168" fontId="0" fillId="0" borderId="20" xfId="2" applyNumberFormat="1" applyFont="1" applyFill="1" applyBorder="1" applyAlignment="1">
      <alignment horizontal="center" vertical="center"/>
    </xf>
    <xf numFmtId="169" fontId="0" fillId="0" borderId="17" xfId="2" applyNumberFormat="1" applyFont="1" applyFill="1" applyBorder="1" applyAlignment="1">
      <alignment horizontal="center" vertical="center"/>
    </xf>
    <xf numFmtId="169" fontId="0" fillId="11" borderId="17" xfId="2" applyNumberFormat="1" applyFont="1" applyFill="1" applyBorder="1" applyAlignment="1">
      <alignment horizontal="center" vertical="center"/>
    </xf>
    <xf numFmtId="169" fontId="0" fillId="0" borderId="20" xfId="2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3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9" fontId="0" fillId="11" borderId="18" xfId="2" applyNumberFormat="1" applyFont="1" applyFill="1" applyBorder="1" applyAlignment="1">
      <alignment horizontal="center" vertical="center"/>
    </xf>
    <xf numFmtId="169" fontId="0" fillId="0" borderId="18" xfId="2" applyNumberFormat="1" applyFont="1" applyFill="1" applyBorder="1" applyAlignment="1">
      <alignment horizontal="center" vertical="center"/>
    </xf>
    <xf numFmtId="169" fontId="0" fillId="0" borderId="21" xfId="2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165" fontId="15" fillId="0" borderId="17" xfId="0" applyNumberFormat="1" applyFont="1" applyFill="1" applyBorder="1" applyAlignment="1">
      <alignment horizontal="center" vertical="center"/>
    </xf>
    <xf numFmtId="0" fontId="0" fillId="0" borderId="0" xfId="0" applyFill="1"/>
    <xf numFmtId="0" fontId="15" fillId="0" borderId="18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165" fontId="0" fillId="0" borderId="35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5" fontId="0" fillId="0" borderId="36" xfId="0" applyNumberFormat="1" applyFont="1" applyBorder="1" applyAlignment="1">
      <alignment horizontal="center" vertical="center"/>
    </xf>
    <xf numFmtId="165" fontId="0" fillId="0" borderId="37" xfId="0" applyNumberFormat="1" applyFont="1" applyBorder="1" applyAlignment="1">
      <alignment horizontal="center" vertical="center"/>
    </xf>
    <xf numFmtId="165" fontId="0" fillId="0" borderId="38" xfId="0" applyNumberFormat="1" applyFont="1" applyBorder="1" applyAlignment="1">
      <alignment horizontal="center" vertical="center"/>
    </xf>
    <xf numFmtId="165" fontId="15" fillId="0" borderId="37" xfId="0" applyNumberFormat="1" applyFont="1" applyFill="1" applyBorder="1" applyAlignment="1">
      <alignment horizontal="center" vertical="center"/>
    </xf>
    <xf numFmtId="165" fontId="15" fillId="0" borderId="38" xfId="0" applyNumberFormat="1" applyFont="1" applyFill="1" applyBorder="1" applyAlignment="1">
      <alignment horizontal="center" vertical="center"/>
    </xf>
    <xf numFmtId="165" fontId="0" fillId="0" borderId="39" xfId="0" applyNumberFormat="1" applyFont="1" applyBorder="1" applyAlignment="1">
      <alignment horizontal="center" vertical="center"/>
    </xf>
    <xf numFmtId="165" fontId="0" fillId="0" borderId="40" xfId="0" applyNumberFormat="1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168" fontId="0" fillId="0" borderId="22" xfId="2" applyNumberFormat="1" applyFont="1" applyFill="1" applyBorder="1" applyAlignment="1">
      <alignment horizontal="center" vertical="center"/>
    </xf>
    <xf numFmtId="168" fontId="0" fillId="0" borderId="23" xfId="2" applyNumberFormat="1" applyFont="1" applyFill="1" applyBorder="1" applyAlignment="1">
      <alignment horizontal="center" vertical="center"/>
    </xf>
    <xf numFmtId="168" fontId="0" fillId="0" borderId="14" xfId="2" applyNumberFormat="1" applyFont="1" applyFill="1" applyBorder="1" applyAlignment="1">
      <alignment horizontal="center" vertical="center"/>
    </xf>
    <xf numFmtId="168" fontId="0" fillId="0" borderId="36" xfId="2" applyNumberFormat="1" applyFont="1" applyFill="1" applyBorder="1" applyAlignment="1">
      <alignment horizontal="center" vertical="center"/>
    </xf>
    <xf numFmtId="168" fontId="0" fillId="0" borderId="38" xfId="2" applyNumberFormat="1" applyFont="1" applyFill="1" applyBorder="1" applyAlignment="1">
      <alignment horizontal="center" vertical="center"/>
    </xf>
    <xf numFmtId="168" fontId="0" fillId="0" borderId="40" xfId="2" applyNumberFormat="1" applyFont="1" applyFill="1" applyBorder="1" applyAlignment="1">
      <alignment horizontal="center" vertical="center"/>
    </xf>
    <xf numFmtId="168" fontId="0" fillId="0" borderId="7" xfId="2" applyNumberFormat="1" applyFont="1" applyFill="1" applyBorder="1" applyAlignment="1">
      <alignment horizontal="center" vertical="center"/>
    </xf>
    <xf numFmtId="168" fontId="0" fillId="0" borderId="24" xfId="2" applyNumberFormat="1" applyFont="1" applyFill="1" applyBorder="1" applyAlignment="1">
      <alignment horizontal="center" vertical="center"/>
    </xf>
    <xf numFmtId="168" fontId="13" fillId="11" borderId="22" xfId="2" applyNumberFormat="1" applyFont="1" applyFill="1" applyBorder="1" applyAlignment="1">
      <alignment horizontal="center" vertical="center"/>
    </xf>
    <xf numFmtId="168" fontId="0" fillId="0" borderId="35" xfId="2" applyNumberFormat="1" applyFont="1" applyFill="1" applyBorder="1" applyAlignment="1">
      <alignment horizontal="center" vertical="center"/>
    </xf>
    <xf numFmtId="168" fontId="0" fillId="0" borderId="37" xfId="2" applyNumberFormat="1" applyFont="1" applyFill="1" applyBorder="1" applyAlignment="1">
      <alignment horizontal="center" vertical="center"/>
    </xf>
    <xf numFmtId="168" fontId="0" fillId="0" borderId="39" xfId="2" applyNumberFormat="1" applyFont="1" applyFill="1" applyBorder="1" applyAlignment="1">
      <alignment horizontal="center" vertical="center"/>
    </xf>
    <xf numFmtId="168" fontId="0" fillId="11" borderId="7" xfId="2" applyNumberFormat="1" applyFont="1" applyFill="1" applyBorder="1" applyAlignment="1">
      <alignment horizontal="center" vertical="center"/>
    </xf>
    <xf numFmtId="169" fontId="0" fillId="0" borderId="22" xfId="2" applyNumberFormat="1" applyFont="1" applyFill="1" applyBorder="1" applyAlignment="1">
      <alignment horizontal="center" vertical="center"/>
    </xf>
    <xf numFmtId="169" fontId="0" fillId="11" borderId="22" xfId="2" applyNumberFormat="1" applyFont="1" applyFill="1" applyBorder="1" applyAlignment="1">
      <alignment horizontal="center" vertical="center"/>
    </xf>
    <xf numFmtId="169" fontId="0" fillId="0" borderId="23" xfId="2" applyNumberFormat="1" applyFont="1" applyFill="1" applyBorder="1" applyAlignment="1">
      <alignment horizontal="center" vertical="center"/>
    </xf>
    <xf numFmtId="169" fontId="0" fillId="0" borderId="35" xfId="2" applyNumberFormat="1" applyFont="1" applyFill="1" applyBorder="1" applyAlignment="1">
      <alignment horizontal="center" vertical="center"/>
    </xf>
    <xf numFmtId="169" fontId="0" fillId="0" borderId="14" xfId="2" applyNumberFormat="1" applyFont="1" applyFill="1" applyBorder="1" applyAlignment="1">
      <alignment horizontal="center" vertical="center"/>
    </xf>
    <xf numFmtId="169" fontId="0" fillId="0" borderId="36" xfId="2" applyNumberFormat="1" applyFont="1" applyFill="1" applyBorder="1" applyAlignment="1">
      <alignment horizontal="center" vertical="center"/>
    </xf>
    <xf numFmtId="169" fontId="0" fillId="0" borderId="37" xfId="2" applyNumberFormat="1" applyFont="1" applyFill="1" applyBorder="1" applyAlignment="1">
      <alignment horizontal="center" vertical="center"/>
    </xf>
    <xf numFmtId="169" fontId="0" fillId="0" borderId="38" xfId="2" applyNumberFormat="1" applyFont="1" applyFill="1" applyBorder="1" applyAlignment="1">
      <alignment horizontal="center" vertical="center"/>
    </xf>
    <xf numFmtId="169" fontId="0" fillId="11" borderId="37" xfId="2" applyNumberFormat="1" applyFont="1" applyFill="1" applyBorder="1" applyAlignment="1">
      <alignment horizontal="center" vertical="center"/>
    </xf>
    <xf numFmtId="169" fontId="0" fillId="11" borderId="38" xfId="2" applyNumberFormat="1" applyFont="1" applyFill="1" applyBorder="1" applyAlignment="1">
      <alignment horizontal="center" vertical="center"/>
    </xf>
    <xf numFmtId="169" fontId="0" fillId="0" borderId="39" xfId="2" applyNumberFormat="1" applyFont="1" applyFill="1" applyBorder="1" applyAlignment="1">
      <alignment horizontal="center" vertical="center"/>
    </xf>
    <xf numFmtId="169" fontId="0" fillId="0" borderId="40" xfId="2" applyNumberFormat="1" applyFont="1" applyFill="1" applyBorder="1" applyAlignment="1">
      <alignment horizontal="center" vertical="center"/>
    </xf>
    <xf numFmtId="169" fontId="0" fillId="0" borderId="7" xfId="2" applyNumberFormat="1" applyFont="1" applyFill="1" applyBorder="1" applyAlignment="1">
      <alignment horizontal="center" vertical="center"/>
    </xf>
    <xf numFmtId="169" fontId="0" fillId="11" borderId="7" xfId="2" applyNumberFormat="1" applyFont="1" applyFill="1" applyBorder="1" applyAlignment="1">
      <alignment horizontal="center" vertical="center"/>
    </xf>
    <xf numFmtId="169" fontId="0" fillId="0" borderId="24" xfId="2" applyNumberFormat="1" applyFont="1" applyFill="1" applyBorder="1" applyAlignment="1">
      <alignment horizontal="center" vertical="center"/>
    </xf>
    <xf numFmtId="169" fontId="2" fillId="0" borderId="22" xfId="2" applyNumberFormat="1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8" borderId="33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</cellXfs>
  <cellStyles count="4">
    <cellStyle name="Comma" xfId="2" builtinId="3"/>
    <cellStyle name="Currency" xfId="3" builtinId="4"/>
    <cellStyle name="Normal" xfId="0" builtinId="0"/>
    <cellStyle name="Normal 2" xfId="1" xr:uid="{00000000-0005-0000-0000-000003000000}"/>
  </cellStyles>
  <dxfs count="1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hh:mm:ss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hh:mm:ss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hh:mm:ss;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P67" totalsRowShown="0" headerRowDxfId="164" dataDxfId="162" headerRowBorderDxfId="163" tableBorderDxfId="161">
  <autoFilter ref="A1:P67" xr:uid="{00000000-0009-0000-0100-000003000000}"/>
  <sortState xmlns:xlrd2="http://schemas.microsoft.com/office/spreadsheetml/2017/richdata2" ref="A3:O69">
    <sortCondition ref="A2:A69"/>
  </sortState>
  <tableColumns count="16">
    <tableColumn id="1" xr3:uid="{00000000-0010-0000-0000-000001000000}" name="Mouse ID " dataDxfId="160"/>
    <tableColumn id="3" xr3:uid="{00000000-0010-0000-0000-000003000000}" name="Sex" dataDxfId="159"/>
    <tableColumn id="2" xr3:uid="{00000000-0010-0000-0000-000002000000}" name="Arrival Date or DOB" dataDxfId="158"/>
    <tableColumn id="4" xr3:uid="{00000000-0010-0000-0000-000004000000}" name="Age at Arrival (weeks)" dataDxfId="157"/>
    <tableColumn id="5" xr3:uid="{00000000-0010-0000-0000-000005000000}" name="Procedure Date " dataDxfId="156"/>
    <tableColumn id="6" xr3:uid="{00000000-0010-0000-0000-000006000000}" name="Age at Procedure (weeks)" dataDxfId="155"/>
    <tableColumn id="7" xr3:uid="{00000000-0010-0000-0000-000007000000}" name="Procedure" dataDxfId="154"/>
    <tableColumn id="8" xr3:uid="{00000000-0010-0000-0000-000008000000}" name="Study" dataDxfId="153"/>
    <tableColumn id="9" xr3:uid="{00000000-0010-0000-0000-000009000000}" name="Surgeon" dataDxfId="152"/>
    <tableColumn id="10" xr3:uid="{00000000-0010-0000-0000-00000A000000}" name="Housing" dataDxfId="151"/>
    <tableColumn id="11" xr3:uid="{00000000-0010-0000-0000-00000B000000}" name="Euthanasia" dataDxfId="150"/>
    <tableColumn id="12" xr3:uid="{00000000-0010-0000-0000-00000C000000}" name="Time Alive (days)" dataDxfId="149"/>
    <tableColumn id="13" xr3:uid="{00000000-0010-0000-0000-00000D000000}" name="Surgery Start Time (HH:MM:SS)" dataDxfId="148"/>
    <tableColumn id="14" xr3:uid="{00000000-0010-0000-0000-00000E000000}" name="Surgery End Time (HH:MM:SS)" dataDxfId="147"/>
    <tableColumn id="15" xr3:uid="{00000000-0010-0000-0000-00000F000000}" name="Surgery Duration (HH:MM:SS)" dataDxfId="146">
      <calculatedColumnFormula>Table3[[#This Row],[Surgery End Time (HH:MM:SS)]]-Table3[[#This Row],[Surgery Start Time (HH:MM:SS)]]</calculatedColumnFormula>
    </tableColumn>
    <tableColumn id="16" xr3:uid="{00000000-0010-0000-0000-000010000000}" name="Body Temp (°C)" dataDxfId="14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E67" totalsRowShown="0" headerRowDxfId="144" dataDxfId="142" headerRowBorderDxfId="143" tableBorderDxfId="141">
  <autoFilter ref="A1:E67" xr:uid="{00000000-0009-0000-0100-000006000000}"/>
  <sortState xmlns:xlrd2="http://schemas.microsoft.com/office/spreadsheetml/2017/richdata2" ref="A2:D68">
    <sortCondition ref="A1:A68"/>
  </sortState>
  <tableColumns count="5">
    <tableColumn id="1" xr3:uid="{00000000-0010-0000-0100-000001000000}" name="Mouse ID" dataDxfId="140"/>
    <tableColumn id="2" xr3:uid="{00000000-0010-0000-0100-000002000000}" name="Age " dataDxfId="139"/>
    <tableColumn id="3" xr3:uid="{00000000-0010-0000-0100-000003000000}" name="Sex" dataDxfId="138"/>
    <tableColumn id="6" xr3:uid="{00000000-0010-0000-0100-000006000000}" name="Treatment" dataDxfId="137"/>
    <tableColumn id="4" xr3:uid="{00000000-0010-0000-0100-000004000000}" name="pMCAO/Naïve/Sham" dataDxfId="1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2" displayName="Table2" ref="A2:AG40" totalsRowShown="0" headerRowDxfId="135" dataDxfId="133" headerRowBorderDxfId="134" dataCellStyle="Normal">
  <autoFilter ref="A2:AG40" xr:uid="{00000000-0009-0000-0100-000007000000}"/>
  <sortState xmlns:xlrd2="http://schemas.microsoft.com/office/spreadsheetml/2017/richdata2" ref="A3:AG38">
    <sortCondition ref="A2:A38"/>
  </sortState>
  <tableColumns count="33">
    <tableColumn id="1" xr3:uid="{00000000-0010-0000-0200-000001000000}" name="Mouse ID" dataDxfId="132" dataCellStyle="Normal"/>
    <tableColumn id="2" xr3:uid="{00000000-0010-0000-0200-000002000000}" name="Age " dataDxfId="131"/>
    <tableColumn id="3" xr3:uid="{00000000-0010-0000-0200-000003000000}" name="Sex" dataDxfId="130"/>
    <tableColumn id="40" xr3:uid="{00000000-0010-0000-0200-000028000000}" name="pMCAO/Sham" dataDxfId="129"/>
    <tableColumn id="4" xr3:uid="{00000000-0010-0000-0200-000004000000}" name="W 0" dataDxfId="128" dataCellStyle="Normal"/>
    <tableColumn id="5" xr3:uid="{00000000-0010-0000-0200-000005000000}" name="W 1" dataDxfId="127" dataCellStyle="Normal"/>
    <tableColumn id="6" xr3:uid="{00000000-0010-0000-0200-000006000000}" name="W 2" dataDxfId="126" dataCellStyle="Normal"/>
    <tableColumn id="7" xr3:uid="{00000000-0010-0000-0200-000007000000}" name="W 3" dataDxfId="125" dataCellStyle="Normal"/>
    <tableColumn id="8" xr3:uid="{00000000-0010-0000-0200-000008000000}" name="W 4" dataDxfId="124" dataCellStyle="Normal"/>
    <tableColumn id="9" xr3:uid="{00000000-0010-0000-0200-000009000000}" name="W 5" dataDxfId="123" dataCellStyle="Normal"/>
    <tableColumn id="30" xr3:uid="{00000000-0010-0000-0200-00001E000000}" name="W 6" dataDxfId="122"/>
    <tableColumn id="31" xr3:uid="{00000000-0010-0000-0200-00001F000000}" name="W 7" dataDxfId="121"/>
    <tableColumn id="10" xr3:uid="{00000000-0010-0000-0200-00000A000000}" name="Ap 1" dataDxfId="120" dataCellStyle="Normal"/>
    <tableColumn id="11" xr3:uid="{00000000-0010-0000-0200-00000B000000}" name="Ap 2" dataDxfId="119" dataCellStyle="Normal"/>
    <tableColumn id="12" xr3:uid="{00000000-0010-0000-0200-00000C000000}" name="Ap 3" dataDxfId="118" dataCellStyle="Normal"/>
    <tableColumn id="13" xr3:uid="{00000000-0010-0000-0200-00000D000000}" name="Ap 4" dataDxfId="117" dataCellStyle="Normal"/>
    <tableColumn id="14" xr3:uid="{00000000-0010-0000-0200-00000E000000}" name="Ap 5" dataDxfId="116" dataCellStyle="Normal"/>
    <tableColumn id="34" xr3:uid="{00000000-0010-0000-0200-000022000000}" name="Ap 6" dataDxfId="115"/>
    <tableColumn id="35" xr3:uid="{00000000-0010-0000-0200-000023000000}" name="Ap 7" dataDxfId="114"/>
    <tableColumn id="15" xr3:uid="{00000000-0010-0000-0200-00000F000000}" name="B 1" dataDxfId="113" dataCellStyle="Normal"/>
    <tableColumn id="16" xr3:uid="{00000000-0010-0000-0200-000010000000}" name="B 2" dataDxfId="112" dataCellStyle="Normal"/>
    <tableColumn id="17" xr3:uid="{00000000-0010-0000-0200-000011000000}" name="B 3" dataDxfId="111" dataCellStyle="Normal"/>
    <tableColumn id="18" xr3:uid="{00000000-0010-0000-0200-000012000000}" name="B 4" dataDxfId="110" dataCellStyle="Normal"/>
    <tableColumn id="19" xr3:uid="{00000000-0010-0000-0200-000013000000}" name="B 5" dataDxfId="109" dataCellStyle="Normal"/>
    <tableColumn id="36" xr3:uid="{00000000-0010-0000-0200-000024000000}" name="B 6" dataDxfId="108"/>
    <tableColumn id="37" xr3:uid="{00000000-0010-0000-0200-000025000000}" name="B 7" dataDxfId="107"/>
    <tableColumn id="20" xr3:uid="{00000000-0010-0000-0200-000014000000}" name="NS 1" dataDxfId="106" dataCellStyle="Normal"/>
    <tableColumn id="21" xr3:uid="{00000000-0010-0000-0200-000015000000}" name="NS 2" dataDxfId="105" dataCellStyle="Normal"/>
    <tableColumn id="22" xr3:uid="{00000000-0010-0000-0200-000016000000}" name="NS 3" dataDxfId="104" dataCellStyle="Normal"/>
    <tableColumn id="23" xr3:uid="{00000000-0010-0000-0200-000017000000}" name="NS 4" dataDxfId="103" dataCellStyle="Normal"/>
    <tableColumn id="24" xr3:uid="{00000000-0010-0000-0200-000018000000}" name="NS 5" dataDxfId="102" dataCellStyle="Normal"/>
    <tableColumn id="38" xr3:uid="{00000000-0010-0000-0200-000026000000}" name="NS 6" dataDxfId="101" dataCellStyle="Normal"/>
    <tableColumn id="39" xr3:uid="{00000000-0010-0000-0200-000027000000}" name="NS 7" dataDxfId="100" dataCellStyle="Norm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46" displayName="Table146" ref="A1:I109" totalsRowShown="0" headerRowDxfId="99" dataDxfId="97" headerRowBorderDxfId="98" headerRowCellStyle="Normal" dataCellStyle="Normal">
  <autoFilter ref="A1:I109" xr:uid="{00000000-0009-0000-0100-00000B000000}"/>
  <sortState xmlns:xlrd2="http://schemas.microsoft.com/office/spreadsheetml/2017/richdata2" ref="A2:I109">
    <sortCondition ref="A1:A109"/>
  </sortState>
  <tableColumns count="9">
    <tableColumn id="1" xr3:uid="{00000000-0010-0000-0300-000001000000}" name="Mouse ID" dataDxfId="96"/>
    <tableColumn id="6" xr3:uid="{00000000-0010-0000-0300-000006000000}" name="Age " dataDxfId="95"/>
    <tableColumn id="5" xr3:uid="{00000000-0010-0000-0300-000005000000}" name="Sex" dataDxfId="94"/>
    <tableColumn id="2" xr3:uid="{00000000-0010-0000-0300-000002000000}" name="pMCAO/Sham" dataDxfId="93"/>
    <tableColumn id="3" xr3:uid="{00000000-0010-0000-0300-000003000000}" name="Time point" dataDxfId="92"/>
    <tableColumn id="10" xr3:uid="{00000000-0010-0000-0300-00000A000000}" name="Right" dataDxfId="91" dataCellStyle="Normal"/>
    <tableColumn id="11" xr3:uid="{00000000-0010-0000-0300-00000B000000}" name="Left" dataDxfId="90" dataCellStyle="Normal"/>
    <tableColumn id="12" xr3:uid="{00000000-0010-0000-0300-00000C000000}" name="Both" dataDxfId="89" dataCellStyle="Normal"/>
    <tableColumn id="4" xr3:uid="{00000000-0010-0000-0300-000004000000}" name="Sum" dataDxfId="88">
      <calculatedColumnFormula>SUM(Table146[[#This Row],[Right]]+Table146[[#This Row],[Left]]+Table146[[#This Row],[Both]])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1" displayName="Table1" ref="AM2:AY48" totalsRowShown="0" headerRowDxfId="87" dataDxfId="86">
  <autoFilter ref="AM2:AY48" xr:uid="{00000000-0009-0000-0100-000009000000}"/>
  <tableColumns count="13">
    <tableColumn id="1" xr3:uid="{00000000-0010-0000-0400-000001000000}" name="Mouse ID" dataDxfId="85"/>
    <tableColumn id="2" xr3:uid="{00000000-0010-0000-0400-000002000000}" name="Lesion" dataDxfId="84"/>
    <tableColumn id="3" xr3:uid="{00000000-0010-0000-0400-000003000000}" name="Contralateral Hemisphere" dataDxfId="83"/>
    <tableColumn id="4" xr3:uid="{00000000-0010-0000-0400-000004000000}" name="Ipsilateral Hemisphere" dataDxfId="82"/>
    <tableColumn id="5" xr3:uid="{00000000-0010-0000-0400-000005000000}" name="Healthy Ipsilateral Hemisphere" dataDxfId="81"/>
    <tableColumn id="6" xr3:uid="{00000000-0010-0000-0400-000006000000}" name="Oedema if + contraction if -" dataDxfId="80">
      <calculatedColumnFormula>(Table1[[#This Row],[Ipsilateral Hemisphere]]-Table1[[#This Row],[Contralateral Hemisphere]])/Table1[[#This Row],[Contralateral Hemisphere]]*100</calculatedColumnFormula>
    </tableColumn>
    <tableColumn id="13" xr3:uid="{00000000-0010-0000-0400-00000D000000}" name="Column2" dataDxfId="79">
      <calculatedColumnFormula>(Table1[[#This Row],[Contralateral Hemisphere]]-Table1[[#This Row],[Ipsilateral Hemisphere]])/Table1[[#This Row],[Contralateral Hemisphere]]*100</calculatedColumnFormula>
    </tableColumn>
    <tableColumn id="9" xr3:uid="{00000000-0010-0000-0400-000009000000}" name="Column1" dataDxfId="78">
      <calculatedColumnFormula>IF(Table1[[#This Row],[Oedema if + contraction if -]]&gt;0,"Oedema","Contraction")</calculatedColumnFormula>
    </tableColumn>
    <tableColumn id="7" xr3:uid="{00000000-0010-0000-0400-000007000000}" name="Tissue Loss" dataDxfId="77">
      <calculatedColumnFormula>Table1[[#This Row],[Contralateral Hemisphere]]-Table1[[#This Row],[Ipsilateral Hemisphere]]</calculatedColumnFormula>
    </tableColumn>
    <tableColumn id="8" xr3:uid="{00000000-0010-0000-0400-000008000000}" name="#sections of lesion" dataDxfId="76"/>
    <tableColumn id="10" xr3:uid="{00000000-0010-0000-0400-00000A000000}" name="cortex" dataDxfId="75"/>
    <tableColumn id="11" xr3:uid="{00000000-0010-0000-0400-00000B000000}" name="cortex + CC" dataDxfId="74">
      <calculatedColumnFormula>Table1[[#This Row],['#sections of lesion]]-Table1[[#This Row],[cortex]]</calculatedColumnFormula>
    </tableColumn>
    <tableColumn id="12" xr3:uid="{00000000-0010-0000-0400-00000C000000}" name="total sections of brain " dataDxfId="7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13" displayName="Table13" ref="A3:AZ67" totalsRowShown="0" headerRowDxfId="72" dataDxfId="70" headerRowBorderDxfId="71">
  <autoFilter ref="A3:AZ67" xr:uid="{00000000-0009-0000-0100-00000D000000}"/>
  <sortState xmlns:xlrd2="http://schemas.microsoft.com/office/spreadsheetml/2017/richdata2" ref="A4:AZ67">
    <sortCondition ref="A3:A67"/>
  </sortState>
  <tableColumns count="52">
    <tableColumn id="2" xr3:uid="{00000000-0010-0000-0500-000002000000}" name="Mouse ID" dataDxfId="69"/>
    <tableColumn id="3" xr3:uid="{00000000-0010-0000-0500-000003000000}" name="Age " dataDxfId="68"/>
    <tableColumn id="32" xr3:uid="{00000000-0010-0000-0500-000020000000}" name="Sex" dataDxfId="67"/>
    <tableColumn id="1" xr3:uid="{00000000-0010-0000-0500-000001000000}" name="pMCAO/Naïve/Sham" dataDxfId="66"/>
    <tableColumn id="4" xr3:uid="{00000000-0010-0000-0500-000004000000}" name="CD3" dataDxfId="65" dataCellStyle="Comma"/>
    <tableColumn id="5" xr3:uid="{00000000-0010-0000-0500-000005000000}" name="CD4" dataDxfId="64" dataCellStyle="Comma"/>
    <tableColumn id="6" xr3:uid="{00000000-0010-0000-0500-000006000000}" name="CD8" dataDxfId="63" dataCellStyle="Comma"/>
    <tableColumn id="7" xr3:uid="{00000000-0010-0000-0500-000007000000}" name="CD4:CD8" dataDxfId="62" dataCellStyle="Comma">
      <calculatedColumnFormula>F4/G4</calculatedColumnFormula>
    </tableColumn>
    <tableColumn id="8" xr3:uid="{00000000-0010-0000-0500-000008000000}" name="CD25" dataDxfId="61" dataCellStyle="Comma"/>
    <tableColumn id="9" xr3:uid="{00000000-0010-0000-0500-000009000000}" name="FOXP3" dataDxfId="60" dataCellStyle="Comma"/>
    <tableColumn id="10" xr3:uid="{00000000-0010-0000-0500-00000A000000}" name="Treg" dataDxfId="59" dataCellStyle="Comma"/>
    <tableColumn id="11" xr3:uid="{00000000-0010-0000-0500-00000B000000}" name="CD3-2" dataDxfId="58" dataCellStyle="Comma"/>
    <tableColumn id="12" xr3:uid="{00000000-0010-0000-0500-00000C000000}" name="CD4-2" dataDxfId="57" dataCellStyle="Comma"/>
    <tableColumn id="13" xr3:uid="{00000000-0010-0000-0500-00000D000000}" name="CD8-2" dataDxfId="56" dataCellStyle="Comma"/>
    <tableColumn id="14" xr3:uid="{00000000-0010-0000-0500-00000E000000}" name="CD4:CD8-2" dataDxfId="55" dataCellStyle="Comma">
      <calculatedColumnFormula>M4/N4</calculatedColumnFormula>
    </tableColumn>
    <tableColumn id="15" xr3:uid="{00000000-0010-0000-0500-00000F000000}" name="CD25-2" dataDxfId="54" dataCellStyle="Comma"/>
    <tableColumn id="16" xr3:uid="{00000000-0010-0000-0500-000010000000}" name="FOXP3-2" dataDxfId="53" dataCellStyle="Comma"/>
    <tableColumn id="17" xr3:uid="{00000000-0010-0000-0500-000011000000}" name="Treg-2" dataDxfId="52" dataCellStyle="Comma"/>
    <tableColumn id="18" xr3:uid="{00000000-0010-0000-0500-000012000000}" name="CD3-3" dataDxfId="51" dataCellStyle="Comma"/>
    <tableColumn id="19" xr3:uid="{00000000-0010-0000-0500-000013000000}" name="CD4-3" dataDxfId="50" dataCellStyle="Comma"/>
    <tableColumn id="20" xr3:uid="{00000000-0010-0000-0500-000014000000}" name="CD8-3" dataDxfId="49" dataCellStyle="Comma"/>
    <tableColumn id="21" xr3:uid="{00000000-0010-0000-0500-000015000000}" name="CD4:CD8-3" dataDxfId="48" dataCellStyle="Comma">
      <calculatedColumnFormula>T4/U4</calculatedColumnFormula>
    </tableColumn>
    <tableColumn id="22" xr3:uid="{00000000-0010-0000-0500-000016000000}" name="CD25-3" dataDxfId="47" dataCellStyle="Comma"/>
    <tableColumn id="23" xr3:uid="{00000000-0010-0000-0500-000017000000}" name="FOXP3-3" dataDxfId="46" dataCellStyle="Comma"/>
    <tableColumn id="24" xr3:uid="{00000000-0010-0000-0500-000018000000}" name="Treg-3" dataDxfId="45" dataCellStyle="Comma"/>
    <tableColumn id="25" xr3:uid="{00000000-0010-0000-0500-000019000000}" name="CD3-4" dataDxfId="44" dataCellStyle="Comma"/>
    <tableColumn id="26" xr3:uid="{00000000-0010-0000-0500-00001A000000}" name="CD4-4" dataDxfId="43" dataCellStyle="Comma"/>
    <tableColumn id="27" xr3:uid="{00000000-0010-0000-0500-00001B000000}" name="CD8-4" dataDxfId="42" dataCellStyle="Comma"/>
    <tableColumn id="28" xr3:uid="{00000000-0010-0000-0500-00001C000000}" name="CD4:CD8-4" dataDxfId="41" dataCellStyle="Comma">
      <calculatedColumnFormula>AA4/AB4</calculatedColumnFormula>
    </tableColumn>
    <tableColumn id="29" xr3:uid="{00000000-0010-0000-0500-00001D000000}" name="CD25-4" dataDxfId="40" dataCellStyle="Comma"/>
    <tableColumn id="30" xr3:uid="{00000000-0010-0000-0500-00001E000000}" name="FOXP3-4" dataDxfId="39" dataCellStyle="Comma"/>
    <tableColumn id="31" xr3:uid="{00000000-0010-0000-0500-00001F000000}" name="Treg-4" dataDxfId="38" dataCellStyle="Comma"/>
    <tableColumn id="36" xr3:uid="{00000000-0010-0000-0500-000024000000}" name="CD45 C1" dataDxfId="37" dataCellStyle="Comma"/>
    <tableColumn id="37" xr3:uid="{00000000-0010-0000-0500-000025000000}" name="CD3 C1" dataDxfId="36" dataCellStyle="Comma">
      <calculatedColumnFormula>AG4*E4/100</calculatedColumnFormula>
    </tableColumn>
    <tableColumn id="38" xr3:uid="{00000000-0010-0000-0500-000026000000}" name="CD4 C1" dataDxfId="35" dataCellStyle="Comma">
      <calculatedColumnFormula>AH4*F4/100</calculatedColumnFormula>
    </tableColumn>
    <tableColumn id="39" xr3:uid="{00000000-0010-0000-0500-000027000000}" name="CD8 C1" dataDxfId="34" dataCellStyle="Comma">
      <calculatedColumnFormula>AH4*G4/100</calculatedColumnFormula>
    </tableColumn>
    <tableColumn id="40" xr3:uid="{00000000-0010-0000-0500-000028000000}" name="Treg C1" dataDxfId="33" dataCellStyle="Comma">
      <calculatedColumnFormula>AI4*K4/100</calculatedColumnFormula>
    </tableColumn>
    <tableColumn id="42" xr3:uid="{00000000-0010-0000-0500-00002A000000}" name="CD45 C2" dataDxfId="32" dataCellStyle="Comma"/>
    <tableColumn id="43" xr3:uid="{00000000-0010-0000-0500-00002B000000}" name="CD3 C2" dataDxfId="31" dataCellStyle="Comma">
      <calculatedColumnFormula>AL4*L4/100</calculatedColumnFormula>
    </tableColumn>
    <tableColumn id="44" xr3:uid="{00000000-0010-0000-0500-00002C000000}" name="CD4 C2" dataDxfId="30" dataCellStyle="Comma">
      <calculatedColumnFormula>AM4*M4/100</calculatedColumnFormula>
    </tableColumn>
    <tableColumn id="45" xr3:uid="{00000000-0010-0000-0500-00002D000000}" name="CD8 C2" dataDxfId="29" dataCellStyle="Comma">
      <calculatedColumnFormula>AM4*N4/100</calculatedColumnFormula>
    </tableColumn>
    <tableColumn id="46" xr3:uid="{00000000-0010-0000-0500-00002E000000}" name="Treg C2" dataDxfId="28" dataCellStyle="Comma">
      <calculatedColumnFormula>AN4*R4/100</calculatedColumnFormula>
    </tableColumn>
    <tableColumn id="48" xr3:uid="{00000000-0010-0000-0500-000030000000}" name="CD45 C3" dataDxfId="27" dataCellStyle="Comma"/>
    <tableColumn id="49" xr3:uid="{00000000-0010-0000-0500-000031000000}" name="CD3 C3" dataDxfId="26" dataCellStyle="Comma">
      <calculatedColumnFormula>AQ4*S4/100</calculatedColumnFormula>
    </tableColumn>
    <tableColumn id="50" xr3:uid="{00000000-0010-0000-0500-000032000000}" name="CD4 C3" dataDxfId="25" dataCellStyle="Comma">
      <calculatedColumnFormula>AR4*T4/100</calculatedColumnFormula>
    </tableColumn>
    <tableColumn id="51" xr3:uid="{00000000-0010-0000-0500-000033000000}" name="CD8 C3" dataDxfId="24" dataCellStyle="Comma">
      <calculatedColumnFormula>AR4*U4/100</calculatedColumnFormula>
    </tableColumn>
    <tableColumn id="52" xr3:uid="{00000000-0010-0000-0500-000034000000}" name="Treg C3" dataDxfId="23" dataCellStyle="Comma">
      <calculatedColumnFormula>AS4*Y4/100</calculatedColumnFormula>
    </tableColumn>
    <tableColumn id="54" xr3:uid="{00000000-0010-0000-0500-000036000000}" name="CD45 C4" dataDxfId="22" dataCellStyle="Comma"/>
    <tableColumn id="55" xr3:uid="{00000000-0010-0000-0500-000037000000}" name="CD3 C4" dataDxfId="21" dataCellStyle="Comma">
      <calculatedColumnFormula>AV4*Z4/100</calculatedColumnFormula>
    </tableColumn>
    <tableColumn id="56" xr3:uid="{00000000-0010-0000-0500-000038000000}" name="CD4 C4" dataDxfId="20" dataCellStyle="Comma">
      <calculatedColumnFormula>AW4*AA4/100</calculatedColumnFormula>
    </tableColumn>
    <tableColumn id="57" xr3:uid="{00000000-0010-0000-0500-000039000000}" name="CD8 C4" dataDxfId="19" dataCellStyle="Comma">
      <calculatedColumnFormula>AW4*AB4/100</calculatedColumnFormula>
    </tableColumn>
    <tableColumn id="58" xr3:uid="{00000000-0010-0000-0500-00003A000000}" name="Treg C4" dataDxfId="18" dataCellStyle="Comma">
      <calculatedColumnFormula>AX4*AF4/100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18" displayName="Table18" ref="AG1:AV47" totalsRowShown="0" headerRowDxfId="17" dataDxfId="16">
  <autoFilter ref="AG1:AV47" xr:uid="{00000000-0009-0000-0100-000005000000}"/>
  <sortState xmlns:xlrd2="http://schemas.microsoft.com/office/spreadsheetml/2017/richdata2" ref="AG2:AV47">
    <sortCondition ref="AG1:AG47"/>
  </sortState>
  <tableColumns count="16">
    <tableColumn id="1" xr3:uid="{00000000-0010-0000-0600-000001000000}" name=" " dataDxfId="15"/>
    <tableColumn id="14" xr3:uid="{00000000-0010-0000-0600-00000E000000}" name="Treatment" dataDxfId="14"/>
    <tableColumn id="2" xr3:uid="{00000000-0010-0000-0600-000002000000}" name="Lesion" dataDxfId="13"/>
    <tableColumn id="3" xr3:uid="{00000000-0010-0000-0600-000003000000}" name="Contralateral Hemisphere" dataDxfId="12"/>
    <tableColumn id="4" xr3:uid="{00000000-0010-0000-0600-000004000000}" name="Ipsilateral Hemisphere" dataDxfId="11"/>
    <tableColumn id="5" xr3:uid="{00000000-0010-0000-0600-000005000000}" name="Healthy Ipsilateral Hemisphere" dataDxfId="10"/>
    <tableColumn id="6" xr3:uid="{00000000-0010-0000-0600-000006000000}" name="(ipsi-contra) /contra *100" dataDxfId="9">
      <calculatedColumnFormula>((Table18[[#This Row],[Ipsilateral Hemisphere]]-Table18[[#This Row],[Contralateral Hemisphere]])/Table18[[#This Row],[Contralateral Hemisphere]])*100</calculatedColumnFormula>
    </tableColumn>
    <tableColumn id="12" xr3:uid="{00000000-0010-0000-0600-00000C000000}" name="(contra-ipsi) /contra *100" dataDxfId="8">
      <calculatedColumnFormula>(Table18[[#This Row],[Contralateral Hemisphere]]-Table18[[#This Row],[Ipsilateral Hemisphere]])/Table18[[#This Row],[Contralateral Hemisphere]]*100</calculatedColumnFormula>
    </tableColumn>
    <tableColumn id="9" xr3:uid="{00000000-0010-0000-0600-000009000000}" name="Column1" dataDxfId="7">
      <calculatedColumnFormula>IF(Table18[[#This Row],[(ipsi-contra) /contra *100]]&gt;0,"Oedema","Contraction")</calculatedColumnFormula>
    </tableColumn>
    <tableColumn id="7" xr3:uid="{00000000-0010-0000-0600-000007000000}" name="Tissue Loss" dataDxfId="6">
      <calculatedColumnFormula>Table18[[#This Row],[Contralateral Hemisphere]]-Table18[[#This Row],[Ipsilateral Hemisphere]]</calculatedColumnFormula>
    </tableColumn>
    <tableColumn id="13" xr3:uid="{00000000-0010-0000-0600-00000D000000}" name="Contra-healthe ipsi" dataDxfId="5">
      <calculatedColumnFormula>Table18[[#This Row],[Contralateral Hemisphere]]-Table18[[#This Row],[Healthy Ipsilateral Hemisphere]]</calculatedColumnFormula>
    </tableColumn>
    <tableColumn id="8" xr3:uid="{00000000-0010-0000-0600-000008000000}" name="#sections of lesion" dataDxfId="4"/>
    <tableColumn id="10" xr3:uid="{00000000-0010-0000-0600-00000A000000}" name="cortex" dataDxfId="3"/>
    <tableColumn id="11" xr3:uid="{00000000-0010-0000-0600-00000B000000}" name="cortex + CC" dataDxfId="2">
      <calculatedColumnFormula>Table18[[#This Row],['#sections of lesion]]-Table18[[#This Row],[cortex]]</calculatedColumnFormula>
    </tableColumn>
    <tableColumn id="15" xr3:uid="{00000000-0010-0000-0600-00000F000000}" name="left/right" dataDxfId="1">
      <calculatedColumnFormula>Table18[[#This Row],[Ipsilateral Hemisphere]]/Table18[[#This Row],[Contralateral Hemisphere]]</calculatedColumnFormula>
    </tableColumn>
    <tableColumn id="16" xr3:uid="{00000000-0010-0000-0600-000010000000}" name="right/left" dataDxfId="0">
      <calculatedColumnFormula>Table18[[#This Row],[Contralateral Hemisphere]]/Table18[[#This Row],[Ipsilateral Hemisphere]]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="80" zoomScaleNormal="80" workbookViewId="0"/>
  </sheetViews>
  <sheetFormatPr defaultColWidth="11.19921875" defaultRowHeight="15.6" x14ac:dyDescent="0.3"/>
  <cols>
    <col min="1" max="1" width="20.796875" style="46" customWidth="1"/>
    <col min="2" max="2" width="16.796875" style="48" customWidth="1"/>
    <col min="3" max="3" width="14.5" style="46" customWidth="1"/>
    <col min="4" max="4" width="23.296875" style="46" customWidth="1"/>
    <col min="5" max="5" width="17.296875" style="46" customWidth="1"/>
    <col min="6" max="6" width="28.69921875" style="46" customWidth="1"/>
    <col min="7" max="7" width="18.69921875" style="46" customWidth="1"/>
    <col min="8" max="8" width="15.296875" style="46" customWidth="1"/>
    <col min="9" max="9" width="12.69921875" style="46" customWidth="1"/>
    <col min="10" max="10" width="15.69921875" style="46" customWidth="1"/>
    <col min="11" max="11" width="14.19921875" style="46" customWidth="1"/>
    <col min="12" max="12" width="16.5" style="46" customWidth="1"/>
    <col min="13" max="13" width="16.19921875" style="46" customWidth="1"/>
    <col min="14" max="14" width="17.296875" style="46" customWidth="1"/>
    <col min="15" max="15" width="12.796875" style="49" customWidth="1"/>
    <col min="16" max="16384" width="11.19921875" style="46"/>
  </cols>
  <sheetData>
    <row r="1" spans="1:16" ht="55.95" customHeight="1" thickBot="1" x14ac:dyDescent="0.35">
      <c r="A1" s="117" t="s">
        <v>310</v>
      </c>
      <c r="B1" s="208" t="s">
        <v>247</v>
      </c>
      <c r="C1" s="118" t="s">
        <v>311</v>
      </c>
      <c r="D1" s="118" t="s">
        <v>308</v>
      </c>
      <c r="E1" s="118" t="s">
        <v>312</v>
      </c>
      <c r="F1" s="118" t="s">
        <v>313</v>
      </c>
      <c r="G1" s="118" t="s">
        <v>92</v>
      </c>
      <c r="H1" s="118" t="s">
        <v>90</v>
      </c>
      <c r="I1" s="118" t="s">
        <v>93</v>
      </c>
      <c r="J1" s="118" t="s">
        <v>94</v>
      </c>
      <c r="K1" s="118" t="s">
        <v>248</v>
      </c>
      <c r="L1" s="118" t="s">
        <v>309</v>
      </c>
      <c r="M1" s="118" t="s">
        <v>314</v>
      </c>
      <c r="N1" s="118" t="s">
        <v>315</v>
      </c>
      <c r="O1" s="118" t="s">
        <v>341</v>
      </c>
      <c r="P1" s="119" t="s">
        <v>339</v>
      </c>
    </row>
    <row r="2" spans="1:16" x14ac:dyDescent="0.3">
      <c r="A2" s="50" t="s">
        <v>316</v>
      </c>
      <c r="B2" s="209" t="s">
        <v>245</v>
      </c>
      <c r="C2" s="51">
        <v>43840</v>
      </c>
      <c r="D2" s="52">
        <v>8</v>
      </c>
      <c r="E2" s="51">
        <v>43859</v>
      </c>
      <c r="F2" s="53">
        <v>10.714285714285715</v>
      </c>
      <c r="G2" s="52" t="s">
        <v>334</v>
      </c>
      <c r="H2" s="52" t="s">
        <v>243</v>
      </c>
      <c r="I2" s="52" t="s">
        <v>244</v>
      </c>
      <c r="J2" s="52" t="s">
        <v>193</v>
      </c>
      <c r="K2" s="51">
        <v>43859</v>
      </c>
      <c r="L2" s="93">
        <v>0</v>
      </c>
      <c r="M2" s="54"/>
      <c r="N2" s="54"/>
      <c r="O2" s="54"/>
      <c r="P2" s="55"/>
    </row>
    <row r="3" spans="1:16" x14ac:dyDescent="0.3">
      <c r="A3" s="56" t="s">
        <v>317</v>
      </c>
      <c r="B3" s="209" t="s">
        <v>245</v>
      </c>
      <c r="C3" s="57">
        <v>43840</v>
      </c>
      <c r="D3" s="58">
        <v>8</v>
      </c>
      <c r="E3" s="57">
        <v>43857</v>
      </c>
      <c r="F3" s="59">
        <v>10.428571428571429</v>
      </c>
      <c r="G3" s="58" t="s">
        <v>91</v>
      </c>
      <c r="H3" s="58" t="s">
        <v>243</v>
      </c>
      <c r="I3" s="58" t="s">
        <v>244</v>
      </c>
      <c r="J3" s="58" t="s">
        <v>193</v>
      </c>
      <c r="K3" s="57">
        <v>43864</v>
      </c>
      <c r="L3" s="95">
        <v>7</v>
      </c>
      <c r="M3" s="60">
        <v>0.50277777777777777</v>
      </c>
      <c r="N3" s="60">
        <v>0.52430555555555558</v>
      </c>
      <c r="O3" s="60">
        <f>Table3[[#This Row],[Surgery End Time (HH:MM:SS)]]-Table3[[#This Row],[Surgery Start Time (HH:MM:SS)]]</f>
        <v>2.1527777777777812E-2</v>
      </c>
      <c r="P3" s="61">
        <v>36.700000000000003</v>
      </c>
    </row>
    <row r="4" spans="1:16" x14ac:dyDescent="0.3">
      <c r="A4" s="56" t="s">
        <v>318</v>
      </c>
      <c r="B4" s="209" t="s">
        <v>245</v>
      </c>
      <c r="C4" s="57">
        <v>43840</v>
      </c>
      <c r="D4" s="58">
        <v>8</v>
      </c>
      <c r="E4" s="57">
        <v>43857</v>
      </c>
      <c r="F4" s="59">
        <v>10.428571428571429</v>
      </c>
      <c r="G4" s="58" t="s">
        <v>91</v>
      </c>
      <c r="H4" s="58" t="s">
        <v>243</v>
      </c>
      <c r="I4" s="58" t="s">
        <v>244</v>
      </c>
      <c r="J4" s="58" t="s">
        <v>193</v>
      </c>
      <c r="K4" s="57">
        <v>43864</v>
      </c>
      <c r="L4" s="95">
        <v>7</v>
      </c>
      <c r="M4" s="60">
        <v>0.54513888888888895</v>
      </c>
      <c r="N4" s="60">
        <v>0.55763888888888891</v>
      </c>
      <c r="O4" s="60">
        <f>Table3[[#This Row],[Surgery End Time (HH:MM:SS)]]-Table3[[#This Row],[Surgery Start Time (HH:MM:SS)]]</f>
        <v>1.2499999999999956E-2</v>
      </c>
      <c r="P4" s="61">
        <v>36.4</v>
      </c>
    </row>
    <row r="5" spans="1:16" x14ac:dyDescent="0.3">
      <c r="A5" s="56" t="s">
        <v>319</v>
      </c>
      <c r="B5" s="209" t="s">
        <v>245</v>
      </c>
      <c r="C5" s="57">
        <v>43840</v>
      </c>
      <c r="D5" s="58">
        <v>8</v>
      </c>
      <c r="E5" s="57">
        <v>43861</v>
      </c>
      <c r="F5" s="59">
        <v>11</v>
      </c>
      <c r="G5" s="58" t="s">
        <v>334</v>
      </c>
      <c r="H5" s="58" t="s">
        <v>243</v>
      </c>
      <c r="I5" s="58" t="s">
        <v>244</v>
      </c>
      <c r="J5" s="58" t="s">
        <v>193</v>
      </c>
      <c r="K5" s="57">
        <v>43861</v>
      </c>
      <c r="L5" s="95">
        <v>0</v>
      </c>
      <c r="M5" s="60"/>
      <c r="N5" s="60"/>
      <c r="O5" s="60"/>
      <c r="P5" s="61"/>
    </row>
    <row r="6" spans="1:16" x14ac:dyDescent="0.3">
      <c r="A6" s="56" t="s">
        <v>320</v>
      </c>
      <c r="B6" s="209" t="s">
        <v>245</v>
      </c>
      <c r="C6" s="57">
        <v>43840</v>
      </c>
      <c r="D6" s="58">
        <v>8</v>
      </c>
      <c r="E6" s="57">
        <v>43857</v>
      </c>
      <c r="F6" s="59">
        <v>10.428571428571429</v>
      </c>
      <c r="G6" s="58" t="s">
        <v>91</v>
      </c>
      <c r="H6" s="58" t="s">
        <v>243</v>
      </c>
      <c r="I6" s="58" t="s">
        <v>244</v>
      </c>
      <c r="J6" s="58" t="s">
        <v>193</v>
      </c>
      <c r="K6" s="57">
        <v>43864</v>
      </c>
      <c r="L6" s="95">
        <v>7</v>
      </c>
      <c r="M6" s="60">
        <v>0.57777777777777783</v>
      </c>
      <c r="N6" s="60">
        <v>0.6</v>
      </c>
      <c r="O6" s="60">
        <f>Table3[[#This Row],[Surgery End Time (HH:MM:SS)]]-Table3[[#This Row],[Surgery Start Time (HH:MM:SS)]]</f>
        <v>2.2222222222222143E-2</v>
      </c>
      <c r="P6" s="61">
        <v>36.4</v>
      </c>
    </row>
    <row r="7" spans="1:16" x14ac:dyDescent="0.3">
      <c r="A7" s="56" t="s">
        <v>321</v>
      </c>
      <c r="B7" s="209" t="s">
        <v>245</v>
      </c>
      <c r="C7" s="57">
        <v>43840</v>
      </c>
      <c r="D7" s="58">
        <v>8</v>
      </c>
      <c r="E7" s="57">
        <v>43865</v>
      </c>
      <c r="F7" s="59">
        <v>11.571428571428571</v>
      </c>
      <c r="G7" s="58" t="s">
        <v>334</v>
      </c>
      <c r="H7" s="58" t="s">
        <v>243</v>
      </c>
      <c r="I7" s="58" t="s">
        <v>244</v>
      </c>
      <c r="J7" s="58" t="s">
        <v>193</v>
      </c>
      <c r="K7" s="57">
        <v>43865</v>
      </c>
      <c r="L7" s="95">
        <v>0</v>
      </c>
      <c r="M7" s="60"/>
      <c r="N7" s="60"/>
      <c r="O7" s="60"/>
      <c r="P7" s="61"/>
    </row>
    <row r="8" spans="1:16" x14ac:dyDescent="0.3">
      <c r="A8" s="56" t="s">
        <v>322</v>
      </c>
      <c r="B8" s="209" t="s">
        <v>245</v>
      </c>
      <c r="C8" s="57">
        <v>43840</v>
      </c>
      <c r="D8" s="58">
        <v>8</v>
      </c>
      <c r="E8" s="57">
        <v>43858</v>
      </c>
      <c r="F8" s="59">
        <v>10.571428571428571</v>
      </c>
      <c r="G8" s="58" t="s">
        <v>91</v>
      </c>
      <c r="H8" s="58" t="s">
        <v>243</v>
      </c>
      <c r="I8" s="58" t="s">
        <v>244</v>
      </c>
      <c r="J8" s="58" t="s">
        <v>193</v>
      </c>
      <c r="K8" s="57">
        <v>43865</v>
      </c>
      <c r="L8" s="95">
        <v>7</v>
      </c>
      <c r="M8" s="60">
        <v>0.46736111111111112</v>
      </c>
      <c r="N8" s="60">
        <v>0.48680555555555555</v>
      </c>
      <c r="O8" s="60">
        <f>Table3[[#This Row],[Surgery End Time (HH:MM:SS)]]-Table3[[#This Row],[Surgery Start Time (HH:MM:SS)]]</f>
        <v>1.9444444444444431E-2</v>
      </c>
      <c r="P8" s="61">
        <v>36.6</v>
      </c>
    </row>
    <row r="9" spans="1:16" x14ac:dyDescent="0.3">
      <c r="A9" s="56" t="s">
        <v>323</v>
      </c>
      <c r="B9" s="209" t="s">
        <v>245</v>
      </c>
      <c r="C9" s="57">
        <v>43840</v>
      </c>
      <c r="D9" s="58">
        <v>8</v>
      </c>
      <c r="E9" s="57">
        <v>43871</v>
      </c>
      <c r="F9" s="59">
        <v>12.428571428571429</v>
      </c>
      <c r="G9" s="58" t="s">
        <v>334</v>
      </c>
      <c r="H9" s="58" t="s">
        <v>243</v>
      </c>
      <c r="I9" s="58" t="s">
        <v>244</v>
      </c>
      <c r="J9" s="58" t="s">
        <v>193</v>
      </c>
      <c r="K9" s="57">
        <v>43871</v>
      </c>
      <c r="L9" s="95">
        <v>0</v>
      </c>
      <c r="M9" s="60"/>
      <c r="N9" s="60"/>
      <c r="O9" s="60"/>
      <c r="P9" s="61"/>
    </row>
    <row r="10" spans="1:16" x14ac:dyDescent="0.3">
      <c r="A10" s="56" t="s">
        <v>324</v>
      </c>
      <c r="B10" s="209" t="s">
        <v>245</v>
      </c>
      <c r="C10" s="57">
        <v>43840</v>
      </c>
      <c r="D10" s="58">
        <v>8</v>
      </c>
      <c r="E10" s="57">
        <v>43858</v>
      </c>
      <c r="F10" s="59">
        <v>10.571428571428571</v>
      </c>
      <c r="G10" s="58" t="s">
        <v>91</v>
      </c>
      <c r="H10" s="58" t="s">
        <v>243</v>
      </c>
      <c r="I10" s="58" t="s">
        <v>244</v>
      </c>
      <c r="J10" s="58" t="s">
        <v>193</v>
      </c>
      <c r="K10" s="57">
        <v>43860</v>
      </c>
      <c r="L10" s="95">
        <v>2</v>
      </c>
      <c r="M10" s="60">
        <v>0.50347222222222221</v>
      </c>
      <c r="N10" s="60">
        <v>0.51874999999999993</v>
      </c>
      <c r="O10" s="60">
        <f>Table3[[#This Row],[Surgery End Time (HH:MM:SS)]]-Table3[[#This Row],[Surgery Start Time (HH:MM:SS)]]</f>
        <v>1.5277777777777724E-2</v>
      </c>
      <c r="P10" s="61">
        <v>37</v>
      </c>
    </row>
    <row r="11" spans="1:16" x14ac:dyDescent="0.3">
      <c r="A11" s="56" t="s">
        <v>271</v>
      </c>
      <c r="B11" s="209" t="s">
        <v>245</v>
      </c>
      <c r="C11" s="57">
        <v>43840</v>
      </c>
      <c r="D11" s="58">
        <v>8</v>
      </c>
      <c r="E11" s="57">
        <v>43871</v>
      </c>
      <c r="F11" s="59">
        <v>12.428571428571429</v>
      </c>
      <c r="G11" s="58" t="s">
        <v>334</v>
      </c>
      <c r="H11" s="58" t="s">
        <v>243</v>
      </c>
      <c r="I11" s="58" t="s">
        <v>244</v>
      </c>
      <c r="J11" s="58" t="s">
        <v>193</v>
      </c>
      <c r="K11" s="57">
        <v>43871</v>
      </c>
      <c r="L11" s="95">
        <v>0</v>
      </c>
      <c r="M11" s="60"/>
      <c r="N11" s="60"/>
      <c r="O11" s="60"/>
      <c r="P11" s="61"/>
    </row>
    <row r="12" spans="1:16" x14ac:dyDescent="0.3">
      <c r="A12" s="56" t="s">
        <v>274</v>
      </c>
      <c r="B12" s="209" t="s">
        <v>245</v>
      </c>
      <c r="C12" s="57">
        <v>43840</v>
      </c>
      <c r="D12" s="58">
        <v>8</v>
      </c>
      <c r="E12" s="57">
        <v>43872</v>
      </c>
      <c r="F12" s="59">
        <v>12.571428571428571</v>
      </c>
      <c r="G12" s="58" t="s">
        <v>334</v>
      </c>
      <c r="H12" s="58" t="s">
        <v>243</v>
      </c>
      <c r="I12" s="58" t="s">
        <v>244</v>
      </c>
      <c r="J12" s="58" t="s">
        <v>193</v>
      </c>
      <c r="K12" s="57">
        <v>43872</v>
      </c>
      <c r="L12" s="95">
        <v>0</v>
      </c>
      <c r="M12" s="60"/>
      <c r="N12" s="60"/>
      <c r="O12" s="60"/>
      <c r="P12" s="61"/>
    </row>
    <row r="13" spans="1:16" x14ac:dyDescent="0.3">
      <c r="A13" s="56" t="s">
        <v>260</v>
      </c>
      <c r="B13" s="209" t="s">
        <v>245</v>
      </c>
      <c r="C13" s="57">
        <v>43840</v>
      </c>
      <c r="D13" s="58">
        <v>8</v>
      </c>
      <c r="E13" s="57">
        <v>43858</v>
      </c>
      <c r="F13" s="59">
        <v>10.571428571428571</v>
      </c>
      <c r="G13" s="58" t="s">
        <v>91</v>
      </c>
      <c r="H13" s="58" t="s">
        <v>243</v>
      </c>
      <c r="I13" s="58" t="s">
        <v>244</v>
      </c>
      <c r="J13" s="58" t="s">
        <v>193</v>
      </c>
      <c r="K13" s="57">
        <v>43865</v>
      </c>
      <c r="L13" s="95">
        <v>7</v>
      </c>
      <c r="M13" s="60">
        <v>0.53611111111111109</v>
      </c>
      <c r="N13" s="60">
        <v>0.55902777777777779</v>
      </c>
      <c r="O13" s="60">
        <f>Table3[[#This Row],[Surgery End Time (HH:MM:SS)]]-Table3[[#This Row],[Surgery Start Time (HH:MM:SS)]]</f>
        <v>2.2916666666666696E-2</v>
      </c>
      <c r="P13" s="61">
        <v>36.200000000000003</v>
      </c>
    </row>
    <row r="14" spans="1:16" x14ac:dyDescent="0.3">
      <c r="A14" s="56" t="s">
        <v>276</v>
      </c>
      <c r="B14" s="209" t="s">
        <v>245</v>
      </c>
      <c r="C14" s="57">
        <v>43840</v>
      </c>
      <c r="D14" s="58">
        <v>8</v>
      </c>
      <c r="E14" s="57">
        <v>43874</v>
      </c>
      <c r="F14" s="59">
        <v>12.857142857142858</v>
      </c>
      <c r="G14" s="58" t="s">
        <v>334</v>
      </c>
      <c r="H14" s="58" t="s">
        <v>243</v>
      </c>
      <c r="I14" s="58" t="s">
        <v>244</v>
      </c>
      <c r="J14" s="58" t="s">
        <v>193</v>
      </c>
      <c r="K14" s="57">
        <v>43874</v>
      </c>
      <c r="L14" s="95">
        <v>0</v>
      </c>
      <c r="M14" s="60"/>
      <c r="N14" s="60"/>
      <c r="O14" s="60"/>
      <c r="P14" s="61"/>
    </row>
    <row r="15" spans="1:16" x14ac:dyDescent="0.3">
      <c r="A15" s="56" t="s">
        <v>269</v>
      </c>
      <c r="B15" s="209" t="s">
        <v>245</v>
      </c>
      <c r="C15" s="57">
        <v>43840</v>
      </c>
      <c r="D15" s="58">
        <v>8</v>
      </c>
      <c r="E15" s="57">
        <v>43861</v>
      </c>
      <c r="F15" s="59">
        <v>11</v>
      </c>
      <c r="G15" s="58" t="s">
        <v>91</v>
      </c>
      <c r="H15" s="58" t="s">
        <v>243</v>
      </c>
      <c r="I15" s="58" t="s">
        <v>244</v>
      </c>
      <c r="J15" s="58" t="s">
        <v>193</v>
      </c>
      <c r="K15" s="57">
        <v>43868</v>
      </c>
      <c r="L15" s="95">
        <v>7</v>
      </c>
      <c r="M15" s="60">
        <v>0.47847222222222219</v>
      </c>
      <c r="N15" s="60">
        <v>0.50138888888888888</v>
      </c>
      <c r="O15" s="60">
        <f>Table3[[#This Row],[Surgery End Time (HH:MM:SS)]]-Table3[[#This Row],[Surgery Start Time (HH:MM:SS)]]</f>
        <v>2.2916666666666696E-2</v>
      </c>
      <c r="P15" s="61">
        <v>35.799999999999997</v>
      </c>
    </row>
    <row r="16" spans="1:16" x14ac:dyDescent="0.3">
      <c r="A16" s="56" t="s">
        <v>277</v>
      </c>
      <c r="B16" s="209" t="s">
        <v>245</v>
      </c>
      <c r="C16" s="57">
        <v>43840</v>
      </c>
      <c r="D16" s="58">
        <v>8</v>
      </c>
      <c r="E16" s="57">
        <v>43875</v>
      </c>
      <c r="F16" s="59">
        <v>13</v>
      </c>
      <c r="G16" s="58" t="s">
        <v>246</v>
      </c>
      <c r="H16" s="58" t="s">
        <v>243</v>
      </c>
      <c r="I16" s="58" t="s">
        <v>244</v>
      </c>
      <c r="J16" s="58" t="s">
        <v>193</v>
      </c>
      <c r="K16" s="57">
        <v>43882</v>
      </c>
      <c r="L16" s="95">
        <v>7</v>
      </c>
      <c r="M16" s="60">
        <v>0.66388888888888886</v>
      </c>
      <c r="N16" s="60">
        <v>0.6694444444444444</v>
      </c>
      <c r="O16" s="60">
        <f>Table3[[#This Row],[Surgery End Time (HH:MM:SS)]]-Table3[[#This Row],[Surgery Start Time (HH:MM:SS)]]</f>
        <v>5.5555555555555358E-3</v>
      </c>
      <c r="P16" s="61">
        <v>35</v>
      </c>
    </row>
    <row r="17" spans="1:16" x14ac:dyDescent="0.3">
      <c r="A17" s="56" t="s">
        <v>263</v>
      </c>
      <c r="B17" s="209" t="s">
        <v>245</v>
      </c>
      <c r="C17" s="57">
        <v>43840</v>
      </c>
      <c r="D17" s="58">
        <v>8</v>
      </c>
      <c r="E17" s="57">
        <v>43860</v>
      </c>
      <c r="F17" s="59">
        <v>10.857142857142858</v>
      </c>
      <c r="G17" s="58" t="s">
        <v>246</v>
      </c>
      <c r="H17" s="58" t="s">
        <v>243</v>
      </c>
      <c r="I17" s="58" t="s">
        <v>244</v>
      </c>
      <c r="J17" s="58" t="s">
        <v>193</v>
      </c>
      <c r="K17" s="57">
        <v>43867</v>
      </c>
      <c r="L17" s="95">
        <v>7</v>
      </c>
      <c r="M17" s="60">
        <v>0.51388888888888895</v>
      </c>
      <c r="N17" s="60">
        <v>0.52986111111111112</v>
      </c>
      <c r="O17" s="60">
        <f>Table3[[#This Row],[Surgery End Time (HH:MM:SS)]]-Table3[[#This Row],[Surgery Start Time (HH:MM:SS)]]</f>
        <v>1.5972222222222165E-2</v>
      </c>
      <c r="P17" s="61">
        <v>34.5</v>
      </c>
    </row>
    <row r="18" spans="1:16" x14ac:dyDescent="0.3">
      <c r="A18" s="56" t="s">
        <v>264</v>
      </c>
      <c r="B18" s="209" t="s">
        <v>245</v>
      </c>
      <c r="C18" s="57">
        <v>43840</v>
      </c>
      <c r="D18" s="58">
        <v>8</v>
      </c>
      <c r="E18" s="57">
        <v>43860</v>
      </c>
      <c r="F18" s="59">
        <v>10.857142857142858</v>
      </c>
      <c r="G18" s="58" t="s">
        <v>246</v>
      </c>
      <c r="H18" s="58" t="s">
        <v>243</v>
      </c>
      <c r="I18" s="58" t="s">
        <v>244</v>
      </c>
      <c r="J18" s="58" t="s">
        <v>193</v>
      </c>
      <c r="K18" s="57">
        <v>43867</v>
      </c>
      <c r="L18" s="95">
        <v>7</v>
      </c>
      <c r="M18" s="60">
        <v>0.54652777777777783</v>
      </c>
      <c r="N18" s="60">
        <v>0.55833333333333335</v>
      </c>
      <c r="O18" s="60">
        <f>Table3[[#This Row],[Surgery End Time (HH:MM:SS)]]-Table3[[#This Row],[Surgery Start Time (HH:MM:SS)]]</f>
        <v>1.1805555555555514E-2</v>
      </c>
      <c r="P18" s="61">
        <v>35.6</v>
      </c>
    </row>
    <row r="19" spans="1:16" x14ac:dyDescent="0.3">
      <c r="A19" s="56" t="s">
        <v>325</v>
      </c>
      <c r="B19" s="209" t="s">
        <v>245</v>
      </c>
      <c r="C19" s="57">
        <v>43840</v>
      </c>
      <c r="D19" s="58">
        <v>8</v>
      </c>
      <c r="E19" s="57">
        <v>43861</v>
      </c>
      <c r="F19" s="59">
        <v>11</v>
      </c>
      <c r="G19" s="58" t="s">
        <v>246</v>
      </c>
      <c r="H19" s="58" t="s">
        <v>243</v>
      </c>
      <c r="I19" s="58" t="s">
        <v>244</v>
      </c>
      <c r="J19" s="58" t="s">
        <v>193</v>
      </c>
      <c r="K19" s="57">
        <v>43864</v>
      </c>
      <c r="L19" s="210">
        <v>3</v>
      </c>
      <c r="M19" s="60">
        <v>0.3979166666666667</v>
      </c>
      <c r="N19" s="60">
        <v>0.41180555555555554</v>
      </c>
      <c r="O19" s="60">
        <f>Table3[[#This Row],[Surgery End Time (HH:MM:SS)]]-Table3[[#This Row],[Surgery Start Time (HH:MM:SS)]]</f>
        <v>1.388888888888884E-2</v>
      </c>
      <c r="P19" s="61">
        <v>36.5</v>
      </c>
    </row>
    <row r="20" spans="1:16" x14ac:dyDescent="0.3">
      <c r="A20" s="56" t="s">
        <v>270</v>
      </c>
      <c r="B20" s="209" t="s">
        <v>245</v>
      </c>
      <c r="C20" s="57">
        <v>43840</v>
      </c>
      <c r="D20" s="58">
        <v>8</v>
      </c>
      <c r="E20" s="57">
        <v>43861</v>
      </c>
      <c r="F20" s="59">
        <v>11</v>
      </c>
      <c r="G20" s="58" t="s">
        <v>246</v>
      </c>
      <c r="H20" s="58" t="s">
        <v>243</v>
      </c>
      <c r="I20" s="58" t="s">
        <v>244</v>
      </c>
      <c r="J20" s="58" t="s">
        <v>193</v>
      </c>
      <c r="K20" s="57">
        <v>43868</v>
      </c>
      <c r="L20" s="95">
        <v>7</v>
      </c>
      <c r="M20" s="60">
        <v>0.45277777777777778</v>
      </c>
      <c r="N20" s="60">
        <v>0.46319444444444446</v>
      </c>
      <c r="O20" s="60">
        <f>Table3[[#This Row],[Surgery End Time (HH:MM:SS)]]-Table3[[#This Row],[Surgery Start Time (HH:MM:SS)]]</f>
        <v>1.0416666666666685E-2</v>
      </c>
      <c r="P20" s="61">
        <v>35.6</v>
      </c>
    </row>
    <row r="21" spans="1:16" x14ac:dyDescent="0.3">
      <c r="A21" s="56" t="s">
        <v>272</v>
      </c>
      <c r="B21" s="209" t="s">
        <v>245</v>
      </c>
      <c r="C21" s="57">
        <v>43840</v>
      </c>
      <c r="D21" s="58">
        <v>8</v>
      </c>
      <c r="E21" s="57">
        <v>43864</v>
      </c>
      <c r="F21" s="59">
        <v>11.428571428571429</v>
      </c>
      <c r="G21" s="58" t="s">
        <v>246</v>
      </c>
      <c r="H21" s="58" t="s">
        <v>243</v>
      </c>
      <c r="I21" s="58" t="s">
        <v>244</v>
      </c>
      <c r="J21" s="58" t="s">
        <v>193</v>
      </c>
      <c r="K21" s="57">
        <v>43871</v>
      </c>
      <c r="L21" s="95">
        <v>7</v>
      </c>
      <c r="M21" s="60">
        <v>0.59791666666666665</v>
      </c>
      <c r="N21" s="60">
        <v>0.60972222222222217</v>
      </c>
      <c r="O21" s="60">
        <f>Table3[[#This Row],[Surgery End Time (HH:MM:SS)]]-Table3[[#This Row],[Surgery Start Time (HH:MM:SS)]]</f>
        <v>1.1805555555555514E-2</v>
      </c>
      <c r="P21" s="61">
        <v>34.6</v>
      </c>
    </row>
    <row r="22" spans="1:16" x14ac:dyDescent="0.3">
      <c r="A22" s="56" t="s">
        <v>273</v>
      </c>
      <c r="B22" s="209" t="s">
        <v>245</v>
      </c>
      <c r="C22" s="57">
        <v>43840</v>
      </c>
      <c r="D22" s="58">
        <v>8</v>
      </c>
      <c r="E22" s="57">
        <v>43864</v>
      </c>
      <c r="F22" s="59">
        <v>11.428571428571429</v>
      </c>
      <c r="G22" s="58" t="s">
        <v>246</v>
      </c>
      <c r="H22" s="58" t="s">
        <v>243</v>
      </c>
      <c r="I22" s="58" t="s">
        <v>244</v>
      </c>
      <c r="J22" s="58" t="s">
        <v>193</v>
      </c>
      <c r="K22" s="57">
        <v>43871</v>
      </c>
      <c r="L22" s="95">
        <v>7</v>
      </c>
      <c r="M22" s="60">
        <v>0.63402777777777775</v>
      </c>
      <c r="N22" s="60">
        <v>0.64513888888888882</v>
      </c>
      <c r="O22" s="60">
        <f>Table3[[#This Row],[Surgery End Time (HH:MM:SS)]]-Table3[[#This Row],[Surgery Start Time (HH:MM:SS)]]</f>
        <v>1.1111111111111072E-2</v>
      </c>
      <c r="P22" s="61">
        <v>35.6</v>
      </c>
    </row>
    <row r="23" spans="1:16" x14ac:dyDescent="0.3">
      <c r="A23" s="56" t="s">
        <v>278</v>
      </c>
      <c r="B23" s="209" t="s">
        <v>245</v>
      </c>
      <c r="C23" s="57">
        <v>43840</v>
      </c>
      <c r="D23" s="58">
        <v>8</v>
      </c>
      <c r="E23" s="57">
        <v>43875</v>
      </c>
      <c r="F23" s="59">
        <v>13</v>
      </c>
      <c r="G23" s="58" t="s">
        <v>246</v>
      </c>
      <c r="H23" s="58" t="s">
        <v>243</v>
      </c>
      <c r="I23" s="58" t="s">
        <v>244</v>
      </c>
      <c r="J23" s="58" t="s">
        <v>193</v>
      </c>
      <c r="K23" s="57">
        <v>43882</v>
      </c>
      <c r="L23" s="95">
        <v>7</v>
      </c>
      <c r="M23" s="60">
        <v>0.57638888888888895</v>
      </c>
      <c r="N23" s="60">
        <v>0.58611111111111114</v>
      </c>
      <c r="O23" s="60">
        <f>Table3[[#This Row],[Surgery End Time (HH:MM:SS)]]-Table3[[#This Row],[Surgery Start Time (HH:MM:SS)]]</f>
        <v>9.7222222222221877E-3</v>
      </c>
      <c r="P23" s="61">
        <v>35.799999999999997</v>
      </c>
    </row>
    <row r="24" spans="1:16" x14ac:dyDescent="0.3">
      <c r="A24" s="56" t="s">
        <v>253</v>
      </c>
      <c r="B24" s="95" t="s">
        <v>242</v>
      </c>
      <c r="C24" s="57">
        <v>43840</v>
      </c>
      <c r="D24" s="58">
        <v>8</v>
      </c>
      <c r="E24" s="57">
        <v>43852</v>
      </c>
      <c r="F24" s="59">
        <v>9.7142857142857135</v>
      </c>
      <c r="G24" s="58" t="s">
        <v>91</v>
      </c>
      <c r="H24" s="58" t="s">
        <v>243</v>
      </c>
      <c r="I24" s="58" t="s">
        <v>244</v>
      </c>
      <c r="J24" s="58" t="s">
        <v>193</v>
      </c>
      <c r="K24" s="57">
        <v>43859</v>
      </c>
      <c r="L24" s="95">
        <v>7</v>
      </c>
      <c r="M24" s="60">
        <v>0.56666666666666665</v>
      </c>
      <c r="N24" s="60">
        <v>0.60416666666666663</v>
      </c>
      <c r="O24" s="60">
        <f>Table3[[#This Row],[Surgery End Time (HH:MM:SS)]]-Table3[[#This Row],[Surgery Start Time (HH:MM:SS)]]</f>
        <v>3.7499999999999978E-2</v>
      </c>
      <c r="P24" s="61">
        <v>36.1</v>
      </c>
    </row>
    <row r="25" spans="1:16" x14ac:dyDescent="0.3">
      <c r="A25" s="56" t="s">
        <v>259</v>
      </c>
      <c r="B25" s="95" t="s">
        <v>242</v>
      </c>
      <c r="C25" s="57">
        <v>43840</v>
      </c>
      <c r="D25" s="58">
        <v>8</v>
      </c>
      <c r="E25" s="57">
        <v>43861</v>
      </c>
      <c r="F25" s="59">
        <v>11</v>
      </c>
      <c r="G25" s="58" t="s">
        <v>334</v>
      </c>
      <c r="H25" s="58" t="s">
        <v>243</v>
      </c>
      <c r="I25" s="58" t="s">
        <v>244</v>
      </c>
      <c r="J25" s="58" t="s">
        <v>193</v>
      </c>
      <c r="K25" s="57">
        <v>43861</v>
      </c>
      <c r="L25" s="95">
        <v>0</v>
      </c>
      <c r="M25" s="62"/>
      <c r="N25" s="62"/>
      <c r="O25" s="62"/>
      <c r="P25" s="61"/>
    </row>
    <row r="26" spans="1:16" x14ac:dyDescent="0.3">
      <c r="A26" s="56" t="s">
        <v>261</v>
      </c>
      <c r="B26" s="95" t="s">
        <v>242</v>
      </c>
      <c r="C26" s="57">
        <v>43840</v>
      </c>
      <c r="D26" s="58">
        <v>8</v>
      </c>
      <c r="E26" s="57">
        <v>43865</v>
      </c>
      <c r="F26" s="59">
        <v>11.571428571428571</v>
      </c>
      <c r="G26" s="58" t="s">
        <v>334</v>
      </c>
      <c r="H26" s="58" t="s">
        <v>243</v>
      </c>
      <c r="I26" s="58" t="s">
        <v>244</v>
      </c>
      <c r="J26" s="58" t="s">
        <v>193</v>
      </c>
      <c r="K26" s="57">
        <v>43865</v>
      </c>
      <c r="L26" s="95">
        <v>0</v>
      </c>
      <c r="M26" s="62"/>
      <c r="N26" s="62"/>
      <c r="O26" s="62"/>
      <c r="P26" s="61"/>
    </row>
    <row r="27" spans="1:16" x14ac:dyDescent="0.3">
      <c r="A27" s="56" t="s">
        <v>262</v>
      </c>
      <c r="B27" s="95" t="s">
        <v>242</v>
      </c>
      <c r="C27" s="57">
        <v>43840</v>
      </c>
      <c r="D27" s="58">
        <v>8</v>
      </c>
      <c r="E27" s="57">
        <v>43865</v>
      </c>
      <c r="F27" s="59">
        <v>11.571428571428571</v>
      </c>
      <c r="G27" s="58" t="s">
        <v>334</v>
      </c>
      <c r="H27" s="58" t="s">
        <v>243</v>
      </c>
      <c r="I27" s="58" t="s">
        <v>244</v>
      </c>
      <c r="J27" s="58" t="s">
        <v>193</v>
      </c>
      <c r="K27" s="57">
        <v>43865</v>
      </c>
      <c r="L27" s="95">
        <v>0</v>
      </c>
      <c r="M27" s="62"/>
      <c r="N27" s="62"/>
      <c r="O27" s="62"/>
      <c r="P27" s="61"/>
    </row>
    <row r="28" spans="1:16" x14ac:dyDescent="0.3">
      <c r="A28" s="56" t="s">
        <v>254</v>
      </c>
      <c r="B28" s="95" t="s">
        <v>242</v>
      </c>
      <c r="C28" s="57">
        <v>43840</v>
      </c>
      <c r="D28" s="58">
        <v>8</v>
      </c>
      <c r="E28" s="57">
        <v>43852</v>
      </c>
      <c r="F28" s="59">
        <v>9.7142857142857135</v>
      </c>
      <c r="G28" s="58" t="s">
        <v>91</v>
      </c>
      <c r="H28" s="58" t="s">
        <v>243</v>
      </c>
      <c r="I28" s="58" t="s">
        <v>244</v>
      </c>
      <c r="J28" s="58" t="s">
        <v>193</v>
      </c>
      <c r="K28" s="57">
        <v>43859</v>
      </c>
      <c r="L28" s="95">
        <v>7</v>
      </c>
      <c r="M28" s="62">
        <v>0.63194444444444442</v>
      </c>
      <c r="N28" s="62">
        <v>0.66875000000000007</v>
      </c>
      <c r="O28" s="62">
        <f>Table3[[#This Row],[Surgery End Time (HH:MM:SS)]]-Table3[[#This Row],[Surgery Start Time (HH:MM:SS)]]</f>
        <v>3.6805555555555647E-2</v>
      </c>
      <c r="P28" s="61">
        <v>36.4</v>
      </c>
    </row>
    <row r="29" spans="1:16" x14ac:dyDescent="0.3">
      <c r="A29" s="56" t="s">
        <v>255</v>
      </c>
      <c r="B29" s="95" t="s">
        <v>242</v>
      </c>
      <c r="C29" s="57">
        <v>43840</v>
      </c>
      <c r="D29" s="58">
        <v>8</v>
      </c>
      <c r="E29" s="57">
        <v>43852</v>
      </c>
      <c r="F29" s="59">
        <v>9.7142857142857135</v>
      </c>
      <c r="G29" s="58" t="s">
        <v>91</v>
      </c>
      <c r="H29" s="58" t="s">
        <v>243</v>
      </c>
      <c r="I29" s="58" t="s">
        <v>244</v>
      </c>
      <c r="J29" s="58" t="s">
        <v>193</v>
      </c>
      <c r="K29" s="57">
        <v>43859</v>
      </c>
      <c r="L29" s="95">
        <v>7</v>
      </c>
      <c r="M29" s="62">
        <v>0.67708333333333337</v>
      </c>
      <c r="N29" s="62">
        <v>0.70208333333333339</v>
      </c>
      <c r="O29" s="62">
        <f>Table3[[#This Row],[Surgery End Time (HH:MM:SS)]]-Table3[[#This Row],[Surgery Start Time (HH:MM:SS)]]</f>
        <v>2.5000000000000022E-2</v>
      </c>
      <c r="P29" s="61">
        <v>35.6</v>
      </c>
    </row>
    <row r="30" spans="1:16" x14ac:dyDescent="0.3">
      <c r="A30" s="56" t="s">
        <v>256</v>
      </c>
      <c r="B30" s="95" t="s">
        <v>242</v>
      </c>
      <c r="C30" s="57">
        <v>43840</v>
      </c>
      <c r="D30" s="58">
        <v>8</v>
      </c>
      <c r="E30" s="57">
        <v>43854</v>
      </c>
      <c r="F30" s="59">
        <v>10</v>
      </c>
      <c r="G30" s="58" t="s">
        <v>91</v>
      </c>
      <c r="H30" s="58" t="s">
        <v>243</v>
      </c>
      <c r="I30" s="58" t="s">
        <v>244</v>
      </c>
      <c r="J30" s="58" t="s">
        <v>193</v>
      </c>
      <c r="K30" s="57">
        <v>43861</v>
      </c>
      <c r="L30" s="95">
        <v>7</v>
      </c>
      <c r="M30" s="62">
        <v>0.51388888888888895</v>
      </c>
      <c r="N30" s="62">
        <v>0.54236111111111118</v>
      </c>
      <c r="O30" s="62">
        <f>Table3[[#This Row],[Surgery End Time (HH:MM:SS)]]-Table3[[#This Row],[Surgery Start Time (HH:MM:SS)]]</f>
        <v>2.8472222222222232E-2</v>
      </c>
      <c r="P30" s="61">
        <v>35.799999999999997</v>
      </c>
    </row>
    <row r="31" spans="1:16" x14ac:dyDescent="0.3">
      <c r="A31" s="56" t="s">
        <v>266</v>
      </c>
      <c r="B31" s="95" t="s">
        <v>242</v>
      </c>
      <c r="C31" s="57">
        <v>43840</v>
      </c>
      <c r="D31" s="58">
        <v>8</v>
      </c>
      <c r="E31" s="57">
        <v>43867</v>
      </c>
      <c r="F31" s="59">
        <v>11.857142857142858</v>
      </c>
      <c r="G31" s="58" t="s">
        <v>334</v>
      </c>
      <c r="H31" s="58" t="s">
        <v>243</v>
      </c>
      <c r="I31" s="58" t="s">
        <v>244</v>
      </c>
      <c r="J31" s="58" t="s">
        <v>193</v>
      </c>
      <c r="K31" s="57">
        <v>43867</v>
      </c>
      <c r="L31" s="95">
        <v>0</v>
      </c>
      <c r="M31" s="62"/>
      <c r="N31" s="62"/>
      <c r="O31" s="62"/>
      <c r="P31" s="61"/>
    </row>
    <row r="32" spans="1:16" x14ac:dyDescent="0.3">
      <c r="A32" s="56" t="s">
        <v>257</v>
      </c>
      <c r="B32" s="95" t="s">
        <v>242</v>
      </c>
      <c r="C32" s="57">
        <v>43840</v>
      </c>
      <c r="D32" s="58">
        <v>8</v>
      </c>
      <c r="E32" s="57">
        <v>43854</v>
      </c>
      <c r="F32" s="59">
        <v>10</v>
      </c>
      <c r="G32" s="58" t="s">
        <v>91</v>
      </c>
      <c r="H32" s="58" t="s">
        <v>243</v>
      </c>
      <c r="I32" s="58" t="s">
        <v>244</v>
      </c>
      <c r="J32" s="58" t="s">
        <v>193</v>
      </c>
      <c r="K32" s="57">
        <v>43861</v>
      </c>
      <c r="L32" s="95">
        <v>7</v>
      </c>
      <c r="M32" s="62">
        <v>0.55833333333333335</v>
      </c>
      <c r="N32" s="62">
        <v>0.57986111111111105</v>
      </c>
      <c r="O32" s="62">
        <f>Table3[[#This Row],[Surgery End Time (HH:MM:SS)]]-Table3[[#This Row],[Surgery Start Time (HH:MM:SS)]]</f>
        <v>2.1527777777777701E-2</v>
      </c>
      <c r="P32" s="61">
        <v>36.5</v>
      </c>
    </row>
    <row r="33" spans="1:16" x14ac:dyDescent="0.3">
      <c r="A33" s="56" t="s">
        <v>258</v>
      </c>
      <c r="B33" s="95" t="s">
        <v>242</v>
      </c>
      <c r="C33" s="57">
        <v>43840</v>
      </c>
      <c r="D33" s="58">
        <v>8</v>
      </c>
      <c r="E33" s="57">
        <v>43854</v>
      </c>
      <c r="F33" s="59">
        <v>10</v>
      </c>
      <c r="G33" s="58" t="s">
        <v>91</v>
      </c>
      <c r="H33" s="58" t="s">
        <v>243</v>
      </c>
      <c r="I33" s="58" t="s">
        <v>244</v>
      </c>
      <c r="J33" s="58" t="s">
        <v>193</v>
      </c>
      <c r="K33" s="57">
        <v>43861</v>
      </c>
      <c r="L33" s="95">
        <v>7</v>
      </c>
      <c r="M33" s="62">
        <v>0.58888888888888891</v>
      </c>
      <c r="N33" s="62">
        <v>0.61319444444444449</v>
      </c>
      <c r="O33" s="62">
        <f>Table3[[#This Row],[Surgery End Time (HH:MM:SS)]]-Table3[[#This Row],[Surgery Start Time (HH:MM:SS)]]</f>
        <v>2.430555555555558E-2</v>
      </c>
      <c r="P33" s="61">
        <v>36.4</v>
      </c>
    </row>
    <row r="34" spans="1:16" x14ac:dyDescent="0.3">
      <c r="A34" s="56" t="s">
        <v>267</v>
      </c>
      <c r="B34" s="95" t="s">
        <v>242</v>
      </c>
      <c r="C34" s="57">
        <v>43840</v>
      </c>
      <c r="D34" s="58">
        <v>8</v>
      </c>
      <c r="E34" s="57">
        <v>43867</v>
      </c>
      <c r="F34" s="59">
        <v>11.857142857142858</v>
      </c>
      <c r="G34" s="58" t="s">
        <v>334</v>
      </c>
      <c r="H34" s="58" t="s">
        <v>243</v>
      </c>
      <c r="I34" s="58" t="s">
        <v>244</v>
      </c>
      <c r="J34" s="58" t="s">
        <v>193</v>
      </c>
      <c r="K34" s="57">
        <v>43867</v>
      </c>
      <c r="L34" s="95">
        <v>0</v>
      </c>
      <c r="M34" s="62"/>
      <c r="N34" s="62"/>
      <c r="O34" s="62"/>
      <c r="P34" s="61"/>
    </row>
    <row r="35" spans="1:16" x14ac:dyDescent="0.3">
      <c r="A35" s="56" t="s">
        <v>268</v>
      </c>
      <c r="B35" s="95" t="s">
        <v>242</v>
      </c>
      <c r="C35" s="57">
        <v>43840</v>
      </c>
      <c r="D35" s="58">
        <v>8</v>
      </c>
      <c r="E35" s="57">
        <v>43867</v>
      </c>
      <c r="F35" s="59">
        <v>11.857142857142858</v>
      </c>
      <c r="G35" s="58" t="s">
        <v>334</v>
      </c>
      <c r="H35" s="58" t="s">
        <v>243</v>
      </c>
      <c r="I35" s="58" t="s">
        <v>244</v>
      </c>
      <c r="J35" s="58" t="s">
        <v>193</v>
      </c>
      <c r="K35" s="57">
        <v>43867</v>
      </c>
      <c r="L35" s="95">
        <v>0</v>
      </c>
      <c r="M35" s="62"/>
      <c r="N35" s="62"/>
      <c r="O35" s="62"/>
      <c r="P35" s="61"/>
    </row>
    <row r="36" spans="1:16" x14ac:dyDescent="0.3">
      <c r="A36" s="56" t="s">
        <v>265</v>
      </c>
      <c r="B36" s="95" t="s">
        <v>242</v>
      </c>
      <c r="C36" s="57">
        <v>43840</v>
      </c>
      <c r="D36" s="58">
        <v>8</v>
      </c>
      <c r="E36" s="57">
        <v>43860</v>
      </c>
      <c r="F36" s="59">
        <v>10.857142857142858</v>
      </c>
      <c r="G36" s="58" t="s">
        <v>91</v>
      </c>
      <c r="H36" s="58" t="s">
        <v>243</v>
      </c>
      <c r="I36" s="58" t="s">
        <v>244</v>
      </c>
      <c r="J36" s="58" t="s">
        <v>193</v>
      </c>
      <c r="K36" s="57">
        <v>43867</v>
      </c>
      <c r="L36" s="95">
        <v>7</v>
      </c>
      <c r="M36" s="62">
        <v>0.5756944444444444</v>
      </c>
      <c r="N36" s="62">
        <v>0.59722222222222221</v>
      </c>
      <c r="O36" s="62">
        <f>Table3[[#This Row],[Surgery End Time (HH:MM:SS)]]-Table3[[#This Row],[Surgery Start Time (HH:MM:SS)]]</f>
        <v>2.1527777777777812E-2</v>
      </c>
      <c r="P36" s="61">
        <v>35.700000000000003</v>
      </c>
    </row>
    <row r="37" spans="1:16" x14ac:dyDescent="0.3">
      <c r="A37" s="56" t="s">
        <v>275</v>
      </c>
      <c r="B37" s="95" t="s">
        <v>242</v>
      </c>
      <c r="C37" s="57">
        <v>43840</v>
      </c>
      <c r="D37" s="58">
        <v>8</v>
      </c>
      <c r="E37" s="57">
        <v>43872</v>
      </c>
      <c r="F37" s="59">
        <v>12.571428571428571</v>
      </c>
      <c r="G37" s="58" t="s">
        <v>334</v>
      </c>
      <c r="H37" s="58" t="s">
        <v>243</v>
      </c>
      <c r="I37" s="58" t="s">
        <v>244</v>
      </c>
      <c r="J37" s="58" t="s">
        <v>193</v>
      </c>
      <c r="K37" s="57">
        <v>43872</v>
      </c>
      <c r="L37" s="95">
        <v>0</v>
      </c>
      <c r="M37" s="62"/>
      <c r="N37" s="62"/>
      <c r="O37" s="62"/>
      <c r="P37" s="61"/>
    </row>
    <row r="38" spans="1:16" x14ac:dyDescent="0.3">
      <c r="A38" s="56" t="s">
        <v>279</v>
      </c>
      <c r="B38" s="95" t="s">
        <v>242</v>
      </c>
      <c r="C38" s="57">
        <v>43840</v>
      </c>
      <c r="D38" s="58">
        <v>8</v>
      </c>
      <c r="E38" s="57">
        <v>43875</v>
      </c>
      <c r="F38" s="59">
        <v>13</v>
      </c>
      <c r="G38" s="58" t="s">
        <v>246</v>
      </c>
      <c r="H38" s="58" t="s">
        <v>243</v>
      </c>
      <c r="I38" s="58" t="s">
        <v>244</v>
      </c>
      <c r="J38" s="58" t="s">
        <v>193</v>
      </c>
      <c r="K38" s="57">
        <v>43882</v>
      </c>
      <c r="L38" s="95">
        <v>7</v>
      </c>
      <c r="M38" s="62">
        <v>0.72083333333333333</v>
      </c>
      <c r="N38" s="62">
        <v>0.73263888888888884</v>
      </c>
      <c r="O38" s="62">
        <f>Table3[[#This Row],[Surgery End Time (HH:MM:SS)]]-Table3[[#This Row],[Surgery Start Time (HH:MM:SS)]]</f>
        <v>1.1805555555555514E-2</v>
      </c>
      <c r="P38" s="61">
        <v>35.6</v>
      </c>
    </row>
    <row r="39" spans="1:16" x14ac:dyDescent="0.3">
      <c r="A39" s="56" t="s">
        <v>280</v>
      </c>
      <c r="B39" s="95" t="s">
        <v>242</v>
      </c>
      <c r="C39" s="57">
        <v>43840</v>
      </c>
      <c r="D39" s="58">
        <v>8</v>
      </c>
      <c r="E39" s="57">
        <v>43875</v>
      </c>
      <c r="F39" s="59">
        <v>13</v>
      </c>
      <c r="G39" s="58" t="s">
        <v>246</v>
      </c>
      <c r="H39" s="58" t="s">
        <v>243</v>
      </c>
      <c r="I39" s="58" t="s">
        <v>244</v>
      </c>
      <c r="J39" s="58" t="s">
        <v>193</v>
      </c>
      <c r="K39" s="57">
        <v>43882</v>
      </c>
      <c r="L39" s="95">
        <v>7</v>
      </c>
      <c r="M39" s="62">
        <v>0.6875</v>
      </c>
      <c r="N39" s="62">
        <v>0.69861111111111107</v>
      </c>
      <c r="O39" s="62">
        <f>Table3[[#This Row],[Surgery End Time (HH:MM:SS)]]-Table3[[#This Row],[Surgery Start Time (HH:MM:SS)]]</f>
        <v>1.1111111111111072E-2</v>
      </c>
      <c r="P39" s="61">
        <v>37</v>
      </c>
    </row>
    <row r="40" spans="1:16" x14ac:dyDescent="0.3">
      <c r="A40" s="56" t="s">
        <v>326</v>
      </c>
      <c r="B40" s="95" t="s">
        <v>242</v>
      </c>
      <c r="C40" s="57">
        <v>43797</v>
      </c>
      <c r="D40" s="58">
        <v>62</v>
      </c>
      <c r="E40" s="57">
        <v>43871</v>
      </c>
      <c r="F40" s="59">
        <v>72.571428571428569</v>
      </c>
      <c r="G40" s="58" t="s">
        <v>91</v>
      </c>
      <c r="H40" s="58" t="s">
        <v>243</v>
      </c>
      <c r="I40" s="58" t="s">
        <v>244</v>
      </c>
      <c r="J40" s="58" t="s">
        <v>193</v>
      </c>
      <c r="K40" s="57">
        <v>43878</v>
      </c>
      <c r="L40" s="95">
        <v>7</v>
      </c>
      <c r="M40" s="62">
        <v>0.59652777777777777</v>
      </c>
      <c r="N40" s="62">
        <v>0.61597222222222225</v>
      </c>
      <c r="O40" s="62">
        <f>Table3[[#This Row],[Surgery End Time (HH:MM:SS)]]-Table3[[#This Row],[Surgery Start Time (HH:MM:SS)]]</f>
        <v>1.9444444444444486E-2</v>
      </c>
      <c r="P40" s="61">
        <v>37</v>
      </c>
    </row>
    <row r="41" spans="1:16" x14ac:dyDescent="0.3">
      <c r="A41" s="56" t="s">
        <v>327</v>
      </c>
      <c r="B41" s="95" t="s">
        <v>242</v>
      </c>
      <c r="C41" s="57">
        <v>43797</v>
      </c>
      <c r="D41" s="58">
        <v>62</v>
      </c>
      <c r="E41" s="57">
        <v>43871</v>
      </c>
      <c r="F41" s="59">
        <v>72.571428571428569</v>
      </c>
      <c r="G41" s="58" t="s">
        <v>91</v>
      </c>
      <c r="H41" s="58" t="s">
        <v>243</v>
      </c>
      <c r="I41" s="58" t="s">
        <v>244</v>
      </c>
      <c r="J41" s="58" t="s">
        <v>193</v>
      </c>
      <c r="K41" s="57">
        <v>43878</v>
      </c>
      <c r="L41" s="95">
        <v>7</v>
      </c>
      <c r="M41" s="62">
        <v>0.63541666666666663</v>
      </c>
      <c r="N41" s="62">
        <v>0.65625</v>
      </c>
      <c r="O41" s="62">
        <f>Table3[[#This Row],[Surgery End Time (HH:MM:SS)]]-Table3[[#This Row],[Surgery Start Time (HH:MM:SS)]]</f>
        <v>2.083333333333337E-2</v>
      </c>
      <c r="P41" s="61">
        <v>37.1</v>
      </c>
    </row>
    <row r="42" spans="1:16" x14ac:dyDescent="0.3">
      <c r="A42" s="56" t="s">
        <v>328</v>
      </c>
      <c r="B42" s="95" t="s">
        <v>242</v>
      </c>
      <c r="C42" s="57">
        <v>43797</v>
      </c>
      <c r="D42" s="58">
        <v>62</v>
      </c>
      <c r="E42" s="57">
        <v>43859</v>
      </c>
      <c r="F42" s="59">
        <v>70.857142857142861</v>
      </c>
      <c r="G42" s="58" t="s">
        <v>334</v>
      </c>
      <c r="H42" s="58" t="s">
        <v>243</v>
      </c>
      <c r="I42" s="58" t="s">
        <v>244</v>
      </c>
      <c r="J42" s="58" t="s">
        <v>193</v>
      </c>
      <c r="K42" s="57">
        <v>43859</v>
      </c>
      <c r="L42" s="95">
        <v>0</v>
      </c>
      <c r="M42" s="62"/>
      <c r="N42" s="62"/>
      <c r="O42" s="62"/>
      <c r="P42" s="61"/>
    </row>
    <row r="43" spans="1:16" x14ac:dyDescent="0.3">
      <c r="A43" s="56" t="s">
        <v>329</v>
      </c>
      <c r="B43" s="95" t="s">
        <v>242</v>
      </c>
      <c r="C43" s="57">
        <v>43797</v>
      </c>
      <c r="D43" s="58">
        <v>62</v>
      </c>
      <c r="E43" s="57">
        <v>43859</v>
      </c>
      <c r="F43" s="59">
        <v>70.857142857142861</v>
      </c>
      <c r="G43" s="58" t="s">
        <v>334</v>
      </c>
      <c r="H43" s="58" t="s">
        <v>243</v>
      </c>
      <c r="I43" s="58" t="s">
        <v>244</v>
      </c>
      <c r="J43" s="58" t="s">
        <v>193</v>
      </c>
      <c r="K43" s="57">
        <v>43859</v>
      </c>
      <c r="L43" s="95">
        <v>0</v>
      </c>
      <c r="M43" s="62"/>
      <c r="N43" s="62"/>
      <c r="O43" s="62"/>
      <c r="P43" s="61"/>
    </row>
    <row r="44" spans="1:16" x14ac:dyDescent="0.3">
      <c r="A44" s="56" t="s">
        <v>330</v>
      </c>
      <c r="B44" s="95" t="s">
        <v>242</v>
      </c>
      <c r="C44" s="57">
        <v>43797</v>
      </c>
      <c r="D44" s="58">
        <v>62</v>
      </c>
      <c r="E44" s="57">
        <v>43871</v>
      </c>
      <c r="F44" s="59">
        <v>72.571428571428569</v>
      </c>
      <c r="G44" s="58" t="s">
        <v>91</v>
      </c>
      <c r="H44" s="58" t="s">
        <v>243</v>
      </c>
      <c r="I44" s="58" t="s">
        <v>244</v>
      </c>
      <c r="J44" s="58" t="s">
        <v>193</v>
      </c>
      <c r="K44" s="57">
        <v>43878</v>
      </c>
      <c r="L44" s="95">
        <v>7</v>
      </c>
      <c r="M44" s="62">
        <v>0.67013888888888884</v>
      </c>
      <c r="N44" s="62">
        <v>0.70000000000000007</v>
      </c>
      <c r="O44" s="62">
        <f>Table3[[#This Row],[Surgery End Time (HH:MM:SS)]]-Table3[[#This Row],[Surgery Start Time (HH:MM:SS)]]</f>
        <v>2.9861111111111227E-2</v>
      </c>
      <c r="P44" s="61">
        <v>35.299999999999997</v>
      </c>
    </row>
    <row r="45" spans="1:16" x14ac:dyDescent="0.3">
      <c r="A45" s="56" t="s">
        <v>331</v>
      </c>
      <c r="B45" s="95" t="s">
        <v>242</v>
      </c>
      <c r="C45" s="57">
        <v>43797</v>
      </c>
      <c r="D45" s="58">
        <v>62</v>
      </c>
      <c r="E45" s="57">
        <v>43864</v>
      </c>
      <c r="F45" s="59">
        <v>71.571428571428569</v>
      </c>
      <c r="G45" s="58" t="s">
        <v>334</v>
      </c>
      <c r="H45" s="58" t="s">
        <v>243</v>
      </c>
      <c r="I45" s="58" t="s">
        <v>244</v>
      </c>
      <c r="J45" s="58" t="s">
        <v>193</v>
      </c>
      <c r="K45" s="57">
        <v>43864</v>
      </c>
      <c r="L45" s="95">
        <v>0</v>
      </c>
      <c r="M45" s="62"/>
      <c r="N45" s="62"/>
      <c r="O45" s="62"/>
      <c r="P45" s="61"/>
    </row>
    <row r="46" spans="1:16" x14ac:dyDescent="0.3">
      <c r="A46" s="56" t="s">
        <v>332</v>
      </c>
      <c r="B46" s="95" t="s">
        <v>242</v>
      </c>
      <c r="C46" s="57">
        <v>43797</v>
      </c>
      <c r="D46" s="58">
        <v>62</v>
      </c>
      <c r="E46" s="57">
        <v>43868</v>
      </c>
      <c r="F46" s="59">
        <v>72.142857142857139</v>
      </c>
      <c r="G46" s="58" t="s">
        <v>334</v>
      </c>
      <c r="H46" s="58" t="s">
        <v>243</v>
      </c>
      <c r="I46" s="58" t="s">
        <v>244</v>
      </c>
      <c r="J46" s="58" t="s">
        <v>193</v>
      </c>
      <c r="K46" s="57">
        <v>43868</v>
      </c>
      <c r="L46" s="95">
        <v>0</v>
      </c>
      <c r="M46" s="62"/>
      <c r="N46" s="62"/>
      <c r="O46" s="62"/>
      <c r="P46" s="61"/>
    </row>
    <row r="47" spans="1:16" x14ac:dyDescent="0.3">
      <c r="A47" s="56" t="s">
        <v>333</v>
      </c>
      <c r="B47" s="95" t="s">
        <v>242</v>
      </c>
      <c r="C47" s="57">
        <v>43797</v>
      </c>
      <c r="D47" s="58">
        <v>62</v>
      </c>
      <c r="E47" s="57">
        <v>43868</v>
      </c>
      <c r="F47" s="59">
        <v>72.142857142857139</v>
      </c>
      <c r="G47" s="58" t="s">
        <v>334</v>
      </c>
      <c r="H47" s="58" t="s">
        <v>243</v>
      </c>
      <c r="I47" s="58" t="s">
        <v>244</v>
      </c>
      <c r="J47" s="58" t="s">
        <v>193</v>
      </c>
      <c r="K47" s="57">
        <v>43868</v>
      </c>
      <c r="L47" s="95">
        <v>0</v>
      </c>
      <c r="M47" s="62"/>
      <c r="N47" s="62"/>
      <c r="O47" s="62"/>
      <c r="P47" s="61"/>
    </row>
    <row r="48" spans="1:16" x14ac:dyDescent="0.3">
      <c r="A48" s="56" t="s">
        <v>297</v>
      </c>
      <c r="B48" s="95" t="s">
        <v>242</v>
      </c>
      <c r="C48" s="57">
        <v>43797</v>
      </c>
      <c r="D48" s="58">
        <v>62</v>
      </c>
      <c r="E48" s="57">
        <v>43872</v>
      </c>
      <c r="F48" s="59">
        <v>72.714285714285708</v>
      </c>
      <c r="G48" s="58" t="s">
        <v>91</v>
      </c>
      <c r="H48" s="58" t="s">
        <v>243</v>
      </c>
      <c r="I48" s="58" t="s">
        <v>244</v>
      </c>
      <c r="J48" s="58" t="s">
        <v>193</v>
      </c>
      <c r="K48" s="57">
        <v>43879</v>
      </c>
      <c r="L48" s="95">
        <v>7</v>
      </c>
      <c r="M48" s="62">
        <v>0.56388888888888888</v>
      </c>
      <c r="N48" s="62">
        <v>0.58402777777777781</v>
      </c>
      <c r="O48" s="62">
        <f>Table3[[#This Row],[Surgery End Time (HH:MM:SS)]]-Table3[[#This Row],[Surgery Start Time (HH:MM:SS)]]</f>
        <v>2.0138888888888928E-2</v>
      </c>
      <c r="P48" s="61">
        <v>36</v>
      </c>
    </row>
    <row r="49" spans="1:16" x14ac:dyDescent="0.3">
      <c r="A49" s="56" t="s">
        <v>285</v>
      </c>
      <c r="B49" s="95" t="s">
        <v>242</v>
      </c>
      <c r="C49" s="57">
        <v>43797</v>
      </c>
      <c r="D49" s="58">
        <v>62</v>
      </c>
      <c r="E49" s="57">
        <v>43871</v>
      </c>
      <c r="F49" s="59">
        <v>72.571428571428569</v>
      </c>
      <c r="G49" s="58" t="s">
        <v>334</v>
      </c>
      <c r="H49" s="58" t="s">
        <v>243</v>
      </c>
      <c r="I49" s="58" t="s">
        <v>244</v>
      </c>
      <c r="J49" s="58" t="s">
        <v>193</v>
      </c>
      <c r="K49" s="57">
        <v>43871</v>
      </c>
      <c r="L49" s="95">
        <v>0</v>
      </c>
      <c r="M49" s="62"/>
      <c r="N49" s="62"/>
      <c r="O49" s="62"/>
      <c r="P49" s="61"/>
    </row>
    <row r="50" spans="1:16" x14ac:dyDescent="0.3">
      <c r="A50" s="56" t="s">
        <v>298</v>
      </c>
      <c r="B50" s="95" t="s">
        <v>242</v>
      </c>
      <c r="C50" s="57">
        <v>43797</v>
      </c>
      <c r="D50" s="58">
        <v>62</v>
      </c>
      <c r="E50" s="57">
        <v>43872</v>
      </c>
      <c r="F50" s="59">
        <v>72.714285714285708</v>
      </c>
      <c r="G50" s="58" t="s">
        <v>91</v>
      </c>
      <c r="H50" s="58" t="s">
        <v>243</v>
      </c>
      <c r="I50" s="58" t="s">
        <v>244</v>
      </c>
      <c r="J50" s="58" t="s">
        <v>193</v>
      </c>
      <c r="K50" s="57">
        <v>43879</v>
      </c>
      <c r="L50" s="95">
        <v>7</v>
      </c>
      <c r="M50" s="62">
        <v>0.61875000000000002</v>
      </c>
      <c r="N50" s="62">
        <v>0.63958333333333328</v>
      </c>
      <c r="O50" s="62">
        <f>Table3[[#This Row],[Surgery End Time (HH:MM:SS)]]-Table3[[#This Row],[Surgery Start Time (HH:MM:SS)]]</f>
        <v>2.0833333333333259E-2</v>
      </c>
      <c r="P50" s="61">
        <v>35.4</v>
      </c>
    </row>
    <row r="51" spans="1:16" x14ac:dyDescent="0.3">
      <c r="A51" s="56" t="s">
        <v>299</v>
      </c>
      <c r="B51" s="95" t="s">
        <v>242</v>
      </c>
      <c r="C51" s="57">
        <v>43797</v>
      </c>
      <c r="D51" s="58">
        <v>62</v>
      </c>
      <c r="E51" s="57">
        <v>43872</v>
      </c>
      <c r="F51" s="59">
        <v>72.714285714285708</v>
      </c>
      <c r="G51" s="58" t="s">
        <v>91</v>
      </c>
      <c r="H51" s="58" t="s">
        <v>243</v>
      </c>
      <c r="I51" s="58" t="s">
        <v>244</v>
      </c>
      <c r="J51" s="58" t="s">
        <v>193</v>
      </c>
      <c r="K51" s="57">
        <v>43879</v>
      </c>
      <c r="L51" s="95">
        <v>7</v>
      </c>
      <c r="M51" s="62">
        <v>0.65972222222222221</v>
      </c>
      <c r="N51" s="62">
        <v>0.68541666666666667</v>
      </c>
      <c r="O51" s="62">
        <f>Table3[[#This Row],[Surgery End Time (HH:MM:SS)]]-Table3[[#This Row],[Surgery Start Time (HH:MM:SS)]]</f>
        <v>2.5694444444444464E-2</v>
      </c>
      <c r="P51" s="61">
        <v>35.9</v>
      </c>
    </row>
    <row r="52" spans="1:16" x14ac:dyDescent="0.3">
      <c r="A52" s="56" t="s">
        <v>291</v>
      </c>
      <c r="B52" s="95" t="s">
        <v>242</v>
      </c>
      <c r="C52" s="57">
        <v>43797</v>
      </c>
      <c r="D52" s="58">
        <v>62</v>
      </c>
      <c r="E52" s="57">
        <v>43874</v>
      </c>
      <c r="F52" s="59">
        <v>73</v>
      </c>
      <c r="G52" s="58" t="s">
        <v>334</v>
      </c>
      <c r="H52" s="58" t="s">
        <v>243</v>
      </c>
      <c r="I52" s="58" t="s">
        <v>244</v>
      </c>
      <c r="J52" s="58" t="s">
        <v>193</v>
      </c>
      <c r="K52" s="57">
        <v>43874</v>
      </c>
      <c r="L52" s="95">
        <v>0</v>
      </c>
      <c r="M52" s="62"/>
      <c r="N52" s="62"/>
      <c r="O52" s="62"/>
      <c r="P52" s="61"/>
    </row>
    <row r="53" spans="1:16" x14ac:dyDescent="0.3">
      <c r="A53" s="56" t="s">
        <v>286</v>
      </c>
      <c r="B53" s="95" t="s">
        <v>245</v>
      </c>
      <c r="C53" s="57">
        <v>43797</v>
      </c>
      <c r="D53" s="58">
        <v>59</v>
      </c>
      <c r="E53" s="57">
        <v>43864</v>
      </c>
      <c r="F53" s="59">
        <v>68.571428571428569</v>
      </c>
      <c r="G53" s="58" t="s">
        <v>91</v>
      </c>
      <c r="H53" s="58" t="s">
        <v>243</v>
      </c>
      <c r="I53" s="58" t="s">
        <v>244</v>
      </c>
      <c r="J53" s="58" t="s">
        <v>193</v>
      </c>
      <c r="K53" s="57">
        <v>43871</v>
      </c>
      <c r="L53" s="95">
        <v>7</v>
      </c>
      <c r="M53" s="62">
        <v>0.55833333333333335</v>
      </c>
      <c r="N53" s="62">
        <v>0.58263888888888882</v>
      </c>
      <c r="O53" s="62">
        <f>Table3[[#This Row],[Surgery End Time (HH:MM:SS)]]-Table3[[#This Row],[Surgery Start Time (HH:MM:SS)]]</f>
        <v>2.4305555555555469E-2</v>
      </c>
      <c r="P53" s="61">
        <v>35.6</v>
      </c>
    </row>
    <row r="54" spans="1:16" x14ac:dyDescent="0.3">
      <c r="A54" s="56" t="s">
        <v>281</v>
      </c>
      <c r="B54" s="95" t="s">
        <v>245</v>
      </c>
      <c r="C54" s="57">
        <v>43797</v>
      </c>
      <c r="D54" s="58">
        <v>59</v>
      </c>
      <c r="E54" s="57">
        <v>43861</v>
      </c>
      <c r="F54" s="59">
        <v>68.142857142857139</v>
      </c>
      <c r="G54" s="58" t="s">
        <v>334</v>
      </c>
      <c r="H54" s="58" t="s">
        <v>243</v>
      </c>
      <c r="I54" s="58" t="s">
        <v>244</v>
      </c>
      <c r="J54" s="58" t="s">
        <v>193</v>
      </c>
      <c r="K54" s="57">
        <v>43861</v>
      </c>
      <c r="L54" s="95">
        <v>0</v>
      </c>
      <c r="M54" s="62"/>
      <c r="N54" s="62"/>
      <c r="O54" s="62"/>
      <c r="P54" s="61"/>
    </row>
    <row r="55" spans="1:16" x14ac:dyDescent="0.3">
      <c r="A55" s="56" t="s">
        <v>288</v>
      </c>
      <c r="B55" s="95" t="s">
        <v>245</v>
      </c>
      <c r="C55" s="57">
        <v>43797</v>
      </c>
      <c r="D55" s="58">
        <v>59</v>
      </c>
      <c r="E55" s="57">
        <v>43866</v>
      </c>
      <c r="F55" s="59">
        <v>68.857142857142861</v>
      </c>
      <c r="G55" s="58" t="s">
        <v>91</v>
      </c>
      <c r="H55" s="58" t="s">
        <v>243</v>
      </c>
      <c r="I55" s="58" t="s">
        <v>244</v>
      </c>
      <c r="J55" s="58" t="s">
        <v>193</v>
      </c>
      <c r="K55" s="57">
        <v>43873</v>
      </c>
      <c r="L55" s="95">
        <v>7</v>
      </c>
      <c r="M55" s="62">
        <v>0.55069444444444449</v>
      </c>
      <c r="N55" s="62">
        <v>0.57708333333333328</v>
      </c>
      <c r="O55" s="62">
        <f>Table3[[#This Row],[Surgery End Time (HH:MM:SS)]]-Table3[[#This Row],[Surgery Start Time (HH:MM:SS)]]</f>
        <v>2.6388888888888795E-2</v>
      </c>
      <c r="P55" s="61">
        <v>35.200000000000003</v>
      </c>
    </row>
    <row r="56" spans="1:16" x14ac:dyDescent="0.3">
      <c r="A56" s="56" t="s">
        <v>289</v>
      </c>
      <c r="B56" s="95" t="s">
        <v>245</v>
      </c>
      <c r="C56" s="57">
        <v>43797</v>
      </c>
      <c r="D56" s="58">
        <v>59</v>
      </c>
      <c r="E56" s="57">
        <v>43866</v>
      </c>
      <c r="F56" s="59">
        <v>68.857142857142861</v>
      </c>
      <c r="G56" s="58" t="s">
        <v>91</v>
      </c>
      <c r="H56" s="58" t="s">
        <v>243</v>
      </c>
      <c r="I56" s="58" t="s">
        <v>244</v>
      </c>
      <c r="J56" s="58" t="s">
        <v>193</v>
      </c>
      <c r="K56" s="57">
        <v>43873</v>
      </c>
      <c r="L56" s="95">
        <v>7</v>
      </c>
      <c r="M56" s="62">
        <v>0.59861111111111109</v>
      </c>
      <c r="N56" s="62">
        <v>0.61944444444444446</v>
      </c>
      <c r="O56" s="62">
        <f>Table3[[#This Row],[Surgery End Time (HH:MM:SS)]]-Table3[[#This Row],[Surgery Start Time (HH:MM:SS)]]</f>
        <v>2.083333333333337E-2</v>
      </c>
      <c r="P56" s="61">
        <v>35.9</v>
      </c>
    </row>
    <row r="57" spans="1:16" x14ac:dyDescent="0.3">
      <c r="A57" s="56" t="s">
        <v>282</v>
      </c>
      <c r="B57" s="95" t="s">
        <v>245</v>
      </c>
      <c r="C57" s="57">
        <v>43797</v>
      </c>
      <c r="D57" s="58">
        <v>59</v>
      </c>
      <c r="E57" s="57">
        <v>43864</v>
      </c>
      <c r="F57" s="59">
        <v>68.571428571428569</v>
      </c>
      <c r="G57" s="58" t="s">
        <v>334</v>
      </c>
      <c r="H57" s="58" t="s">
        <v>243</v>
      </c>
      <c r="I57" s="58" t="s">
        <v>244</v>
      </c>
      <c r="J57" s="58" t="s">
        <v>193</v>
      </c>
      <c r="K57" s="57">
        <v>43864</v>
      </c>
      <c r="L57" s="95">
        <v>0</v>
      </c>
      <c r="M57" s="62"/>
      <c r="N57" s="62"/>
      <c r="O57" s="62"/>
      <c r="P57" s="61"/>
    </row>
    <row r="58" spans="1:16" x14ac:dyDescent="0.3">
      <c r="A58" s="56" t="s">
        <v>283</v>
      </c>
      <c r="B58" s="95" t="s">
        <v>245</v>
      </c>
      <c r="C58" s="57">
        <v>43797</v>
      </c>
      <c r="D58" s="58">
        <v>59</v>
      </c>
      <c r="E58" s="57">
        <v>43864</v>
      </c>
      <c r="F58" s="59">
        <v>68.571428571428569</v>
      </c>
      <c r="G58" s="58" t="s">
        <v>334</v>
      </c>
      <c r="H58" s="58" t="s">
        <v>243</v>
      </c>
      <c r="I58" s="58" t="s">
        <v>244</v>
      </c>
      <c r="J58" s="58" t="s">
        <v>193</v>
      </c>
      <c r="K58" s="57">
        <v>43864</v>
      </c>
      <c r="L58" s="95">
        <v>0</v>
      </c>
      <c r="M58" s="62"/>
      <c r="N58" s="62"/>
      <c r="O58" s="62"/>
      <c r="P58" s="61"/>
    </row>
    <row r="59" spans="1:16" x14ac:dyDescent="0.3">
      <c r="A59" s="56" t="s">
        <v>290</v>
      </c>
      <c r="B59" s="95" t="s">
        <v>245</v>
      </c>
      <c r="C59" s="57">
        <v>43797</v>
      </c>
      <c r="D59" s="58">
        <v>59</v>
      </c>
      <c r="E59" s="57">
        <v>43866</v>
      </c>
      <c r="F59" s="59">
        <v>68.857142857142861</v>
      </c>
      <c r="G59" s="58" t="s">
        <v>91</v>
      </c>
      <c r="H59" s="58" t="s">
        <v>243</v>
      </c>
      <c r="I59" s="58" t="s">
        <v>244</v>
      </c>
      <c r="J59" s="58" t="s">
        <v>193</v>
      </c>
      <c r="K59" s="57">
        <v>43873</v>
      </c>
      <c r="L59" s="95">
        <v>7</v>
      </c>
      <c r="M59" s="62">
        <v>0.6479166666666667</v>
      </c>
      <c r="N59" s="62">
        <v>0.67222222222222217</v>
      </c>
      <c r="O59" s="62">
        <f>Table3[[#This Row],[Surgery End Time (HH:MM:SS)]]-Table3[[#This Row],[Surgery Start Time (HH:MM:SS)]]</f>
        <v>2.4305555555555469E-2</v>
      </c>
      <c r="P59" s="61">
        <v>33.700000000000003</v>
      </c>
    </row>
    <row r="60" spans="1:16" x14ac:dyDescent="0.3">
      <c r="A60" s="56" t="s">
        <v>284</v>
      </c>
      <c r="B60" s="95" t="s">
        <v>245</v>
      </c>
      <c r="C60" s="57">
        <v>43797</v>
      </c>
      <c r="D60" s="58">
        <v>59</v>
      </c>
      <c r="E60" s="57">
        <v>43868</v>
      </c>
      <c r="F60" s="59">
        <v>69.142857142857139</v>
      </c>
      <c r="G60" s="58" t="s">
        <v>334</v>
      </c>
      <c r="H60" s="58" t="s">
        <v>243</v>
      </c>
      <c r="I60" s="58" t="s">
        <v>244</v>
      </c>
      <c r="J60" s="58" t="s">
        <v>193</v>
      </c>
      <c r="K60" s="57">
        <v>43868</v>
      </c>
      <c r="L60" s="95">
        <v>0</v>
      </c>
      <c r="M60" s="62"/>
      <c r="N60" s="62"/>
      <c r="O60" s="62"/>
      <c r="P60" s="61"/>
    </row>
    <row r="61" spans="1:16" x14ac:dyDescent="0.3">
      <c r="A61" s="56" t="s">
        <v>293</v>
      </c>
      <c r="B61" s="95" t="s">
        <v>245</v>
      </c>
      <c r="C61" s="57">
        <v>43797</v>
      </c>
      <c r="D61" s="58">
        <v>59</v>
      </c>
      <c r="E61" s="57">
        <v>43867</v>
      </c>
      <c r="F61" s="59">
        <v>69</v>
      </c>
      <c r="G61" s="58" t="s">
        <v>91</v>
      </c>
      <c r="H61" s="58" t="s">
        <v>243</v>
      </c>
      <c r="I61" s="58" t="s">
        <v>244</v>
      </c>
      <c r="J61" s="58" t="s">
        <v>193</v>
      </c>
      <c r="K61" s="57">
        <v>43874</v>
      </c>
      <c r="L61" s="95">
        <v>7</v>
      </c>
      <c r="M61" s="62">
        <v>0.55138888888888882</v>
      </c>
      <c r="N61" s="62">
        <v>0.56736111111111109</v>
      </c>
      <c r="O61" s="62">
        <f>Table3[[#This Row],[Surgery End Time (HH:MM:SS)]]-Table3[[#This Row],[Surgery Start Time (HH:MM:SS)]]</f>
        <v>1.5972222222222276E-2</v>
      </c>
      <c r="P61" s="61">
        <v>35.4</v>
      </c>
    </row>
    <row r="62" spans="1:16" x14ac:dyDescent="0.3">
      <c r="A62" s="56" t="s">
        <v>294</v>
      </c>
      <c r="B62" s="95" t="s">
        <v>245</v>
      </c>
      <c r="C62" s="57">
        <v>43797</v>
      </c>
      <c r="D62" s="58">
        <v>59</v>
      </c>
      <c r="E62" s="57">
        <v>43867</v>
      </c>
      <c r="F62" s="59">
        <v>69</v>
      </c>
      <c r="G62" s="58" t="s">
        <v>91</v>
      </c>
      <c r="H62" s="58" t="s">
        <v>243</v>
      </c>
      <c r="I62" s="58" t="s">
        <v>244</v>
      </c>
      <c r="J62" s="58" t="s">
        <v>193</v>
      </c>
      <c r="K62" s="57">
        <v>43874</v>
      </c>
      <c r="L62" s="95">
        <v>7</v>
      </c>
      <c r="M62" s="62">
        <v>0.57638888888888895</v>
      </c>
      <c r="N62" s="62">
        <v>0.59722222222222221</v>
      </c>
      <c r="O62" s="62">
        <f>Table3[[#This Row],[Surgery End Time (HH:MM:SS)]]-Table3[[#This Row],[Surgery Start Time (HH:MM:SS)]]</f>
        <v>2.0833333333333259E-2</v>
      </c>
      <c r="P62" s="61">
        <v>35.799999999999997</v>
      </c>
    </row>
    <row r="63" spans="1:16" x14ac:dyDescent="0.3">
      <c r="A63" s="56" t="s">
        <v>295</v>
      </c>
      <c r="B63" s="95" t="s">
        <v>245</v>
      </c>
      <c r="C63" s="57">
        <v>43797</v>
      </c>
      <c r="D63" s="58">
        <v>59</v>
      </c>
      <c r="E63" s="57">
        <v>43867</v>
      </c>
      <c r="F63" s="59">
        <v>69</v>
      </c>
      <c r="G63" s="58" t="s">
        <v>91</v>
      </c>
      <c r="H63" s="58" t="s">
        <v>243</v>
      </c>
      <c r="I63" s="58" t="s">
        <v>244</v>
      </c>
      <c r="J63" s="58" t="s">
        <v>193</v>
      </c>
      <c r="K63" s="57">
        <v>43874</v>
      </c>
      <c r="L63" s="95">
        <v>7</v>
      </c>
      <c r="M63" s="62">
        <v>0.61805555555555558</v>
      </c>
      <c r="N63" s="62">
        <v>0.63750000000000007</v>
      </c>
      <c r="O63" s="62">
        <f>Table3[[#This Row],[Surgery End Time (HH:MM:SS)]]-Table3[[#This Row],[Surgery Start Time (HH:MM:SS)]]</f>
        <v>1.9444444444444486E-2</v>
      </c>
      <c r="P63" s="61">
        <v>35.700000000000003</v>
      </c>
    </row>
    <row r="64" spans="1:16" x14ac:dyDescent="0.3">
      <c r="A64" s="56" t="s">
        <v>300</v>
      </c>
      <c r="B64" s="95" t="s">
        <v>245</v>
      </c>
      <c r="C64" s="57">
        <v>43797</v>
      </c>
      <c r="D64" s="58">
        <v>58</v>
      </c>
      <c r="E64" s="57">
        <v>43875</v>
      </c>
      <c r="F64" s="59">
        <v>69.142857142857139</v>
      </c>
      <c r="G64" s="58" t="s">
        <v>91</v>
      </c>
      <c r="H64" s="58" t="s">
        <v>243</v>
      </c>
      <c r="I64" s="58" t="s">
        <v>244</v>
      </c>
      <c r="J64" s="58" t="s">
        <v>193</v>
      </c>
      <c r="K64" s="57">
        <v>43882</v>
      </c>
      <c r="L64" s="95">
        <v>7</v>
      </c>
      <c r="M64" s="62">
        <v>0.6118055555555556</v>
      </c>
      <c r="N64" s="62">
        <v>0.63472222222222219</v>
      </c>
      <c r="O64" s="62">
        <f>Table3[[#This Row],[Surgery End Time (HH:MM:SS)]]-Table3[[#This Row],[Surgery Start Time (HH:MM:SS)]]</f>
        <v>2.2916666666666585E-2</v>
      </c>
      <c r="P64" s="61">
        <v>35.6</v>
      </c>
    </row>
    <row r="65" spans="1:16" x14ac:dyDescent="0.3">
      <c r="A65" s="56" t="s">
        <v>287</v>
      </c>
      <c r="B65" s="95" t="s">
        <v>245</v>
      </c>
      <c r="C65" s="57">
        <v>43797</v>
      </c>
      <c r="D65" s="58">
        <v>58</v>
      </c>
      <c r="E65" s="57">
        <v>43873</v>
      </c>
      <c r="F65" s="59">
        <v>68.857142857142861</v>
      </c>
      <c r="G65" s="58" t="s">
        <v>334</v>
      </c>
      <c r="H65" s="58" t="s">
        <v>243</v>
      </c>
      <c r="I65" s="58" t="s">
        <v>244</v>
      </c>
      <c r="J65" s="58" t="s">
        <v>193</v>
      </c>
      <c r="K65" s="57">
        <v>43873</v>
      </c>
      <c r="L65" s="95">
        <v>0</v>
      </c>
      <c r="M65" s="62"/>
      <c r="N65" s="62"/>
      <c r="O65" s="62"/>
      <c r="P65" s="61"/>
    </row>
    <row r="66" spans="1:16" x14ac:dyDescent="0.3">
      <c r="A66" s="56" t="s">
        <v>292</v>
      </c>
      <c r="B66" s="95" t="s">
        <v>245</v>
      </c>
      <c r="C66" s="57">
        <v>43797</v>
      </c>
      <c r="D66" s="58">
        <v>58</v>
      </c>
      <c r="E66" s="57">
        <v>43874</v>
      </c>
      <c r="F66" s="59">
        <v>69</v>
      </c>
      <c r="G66" s="58" t="s">
        <v>334</v>
      </c>
      <c r="H66" s="58" t="s">
        <v>243</v>
      </c>
      <c r="I66" s="58" t="s">
        <v>244</v>
      </c>
      <c r="J66" s="58" t="s">
        <v>193</v>
      </c>
      <c r="K66" s="57">
        <v>43874</v>
      </c>
      <c r="L66" s="95">
        <v>0</v>
      </c>
      <c r="M66" s="62"/>
      <c r="N66" s="62"/>
      <c r="O66" s="62"/>
      <c r="P66" s="61"/>
    </row>
    <row r="67" spans="1:16" ht="16.2" thickBot="1" x14ac:dyDescent="0.35">
      <c r="A67" s="63" t="s">
        <v>296</v>
      </c>
      <c r="B67" s="95" t="s">
        <v>245</v>
      </c>
      <c r="C67" s="64">
        <v>43797</v>
      </c>
      <c r="D67" s="65">
        <v>58</v>
      </c>
      <c r="E67" s="64">
        <v>43878</v>
      </c>
      <c r="F67" s="66">
        <v>69.571428571428569</v>
      </c>
      <c r="G67" s="65" t="s">
        <v>334</v>
      </c>
      <c r="H67" s="65" t="s">
        <v>243</v>
      </c>
      <c r="I67" s="65" t="s">
        <v>244</v>
      </c>
      <c r="J67" s="65" t="s">
        <v>193</v>
      </c>
      <c r="K67" s="64">
        <v>43878</v>
      </c>
      <c r="L67" s="106">
        <v>0</v>
      </c>
      <c r="M67" s="67"/>
      <c r="N67" s="67"/>
      <c r="O67" s="67"/>
      <c r="P67" s="68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topLeftCell="A12" zoomScale="70" zoomScaleNormal="70" workbookViewId="0">
      <selection activeCell="H32" sqref="H32"/>
    </sheetView>
  </sheetViews>
  <sheetFormatPr defaultColWidth="11.19921875" defaultRowHeight="15.6" x14ac:dyDescent="0.3"/>
  <cols>
    <col min="1" max="1" width="16" customWidth="1"/>
    <col min="2" max="2" width="15.19921875" customWidth="1"/>
    <col min="3" max="4" width="17.296875" customWidth="1"/>
    <col min="5" max="5" width="25.19921875" customWidth="1"/>
    <col min="6" max="6" width="27.69921875" customWidth="1"/>
    <col min="7" max="7" width="46" customWidth="1"/>
  </cols>
  <sheetData>
    <row r="1" spans="1:6" ht="30" customHeight="1" thickBot="1" x14ac:dyDescent="0.35">
      <c r="A1" s="81" t="s">
        <v>1</v>
      </c>
      <c r="B1" s="82" t="s">
        <v>338</v>
      </c>
      <c r="C1" s="82" t="s">
        <v>247</v>
      </c>
      <c r="D1" s="83" t="s">
        <v>180</v>
      </c>
      <c r="E1" s="83" t="s">
        <v>302</v>
      </c>
      <c r="F1" s="45" t="s">
        <v>340</v>
      </c>
    </row>
    <row r="2" spans="1:6" x14ac:dyDescent="0.3">
      <c r="A2" s="70" t="s">
        <v>316</v>
      </c>
      <c r="B2" s="71" t="s">
        <v>249</v>
      </c>
      <c r="C2" s="71" t="s">
        <v>245</v>
      </c>
      <c r="D2" s="136" t="s">
        <v>182</v>
      </c>
      <c r="E2" s="72" t="s">
        <v>334</v>
      </c>
    </row>
    <row r="3" spans="1:6" x14ac:dyDescent="0.3">
      <c r="A3" s="69" t="s">
        <v>317</v>
      </c>
      <c r="B3" s="73" t="s">
        <v>249</v>
      </c>
      <c r="C3" s="73" t="s">
        <v>245</v>
      </c>
      <c r="D3" s="79" t="s">
        <v>182</v>
      </c>
      <c r="E3" s="74" t="s">
        <v>91</v>
      </c>
    </row>
    <row r="4" spans="1:6" x14ac:dyDescent="0.3">
      <c r="A4" s="69" t="s">
        <v>318</v>
      </c>
      <c r="B4" s="73" t="s">
        <v>249</v>
      </c>
      <c r="C4" s="73" t="s">
        <v>245</v>
      </c>
      <c r="D4" s="79" t="s">
        <v>182</v>
      </c>
      <c r="E4" s="74" t="s">
        <v>91</v>
      </c>
    </row>
    <row r="5" spans="1:6" x14ac:dyDescent="0.3">
      <c r="A5" s="69" t="s">
        <v>319</v>
      </c>
      <c r="B5" s="73" t="s">
        <v>249</v>
      </c>
      <c r="C5" s="73" t="s">
        <v>245</v>
      </c>
      <c r="D5" s="79" t="s">
        <v>182</v>
      </c>
      <c r="E5" s="74" t="s">
        <v>334</v>
      </c>
    </row>
    <row r="6" spans="1:6" x14ac:dyDescent="0.3">
      <c r="A6" s="69" t="s">
        <v>320</v>
      </c>
      <c r="B6" s="73" t="s">
        <v>249</v>
      </c>
      <c r="C6" s="73" t="s">
        <v>245</v>
      </c>
      <c r="D6" s="79" t="s">
        <v>182</v>
      </c>
      <c r="E6" s="74" t="s">
        <v>91</v>
      </c>
    </row>
    <row r="7" spans="1:6" x14ac:dyDescent="0.3">
      <c r="A7" s="69" t="s">
        <v>321</v>
      </c>
      <c r="B7" s="73" t="s">
        <v>249</v>
      </c>
      <c r="C7" s="73" t="s">
        <v>245</v>
      </c>
      <c r="D7" s="79" t="s">
        <v>182</v>
      </c>
      <c r="E7" s="74" t="s">
        <v>334</v>
      </c>
    </row>
    <row r="8" spans="1:6" x14ac:dyDescent="0.3">
      <c r="A8" s="69" t="s">
        <v>322</v>
      </c>
      <c r="B8" s="73" t="s">
        <v>249</v>
      </c>
      <c r="C8" s="73" t="s">
        <v>245</v>
      </c>
      <c r="D8" s="79" t="s">
        <v>182</v>
      </c>
      <c r="E8" s="74" t="s">
        <v>91</v>
      </c>
    </row>
    <row r="9" spans="1:6" x14ac:dyDescent="0.3">
      <c r="A9" s="69" t="s">
        <v>323</v>
      </c>
      <c r="B9" s="73" t="s">
        <v>249</v>
      </c>
      <c r="C9" s="73" t="s">
        <v>245</v>
      </c>
      <c r="D9" s="79" t="s">
        <v>182</v>
      </c>
      <c r="E9" s="74" t="s">
        <v>334</v>
      </c>
    </row>
    <row r="10" spans="1:6" x14ac:dyDescent="0.3">
      <c r="A10" s="75" t="s">
        <v>324</v>
      </c>
      <c r="B10" s="76" t="s">
        <v>249</v>
      </c>
      <c r="C10" s="76" t="s">
        <v>245</v>
      </c>
      <c r="D10" s="80" t="s">
        <v>182</v>
      </c>
      <c r="E10" s="77" t="s">
        <v>91</v>
      </c>
    </row>
    <row r="11" spans="1:6" x14ac:dyDescent="0.3">
      <c r="A11" s="69" t="s">
        <v>271</v>
      </c>
      <c r="B11" s="73" t="s">
        <v>249</v>
      </c>
      <c r="C11" s="73" t="s">
        <v>245</v>
      </c>
      <c r="D11" s="79" t="s">
        <v>182</v>
      </c>
      <c r="E11" s="74" t="s">
        <v>334</v>
      </c>
    </row>
    <row r="12" spans="1:6" x14ac:dyDescent="0.3">
      <c r="A12" s="69" t="s">
        <v>274</v>
      </c>
      <c r="B12" s="73" t="s">
        <v>249</v>
      </c>
      <c r="C12" s="73" t="s">
        <v>245</v>
      </c>
      <c r="D12" s="79" t="s">
        <v>182</v>
      </c>
      <c r="E12" s="74" t="s">
        <v>334</v>
      </c>
    </row>
    <row r="13" spans="1:6" x14ac:dyDescent="0.3">
      <c r="A13" s="69" t="s">
        <v>260</v>
      </c>
      <c r="B13" s="73" t="s">
        <v>249</v>
      </c>
      <c r="C13" s="73" t="s">
        <v>245</v>
      </c>
      <c r="D13" s="79" t="s">
        <v>182</v>
      </c>
      <c r="E13" s="74" t="s">
        <v>91</v>
      </c>
    </row>
    <row r="14" spans="1:6" x14ac:dyDescent="0.3">
      <c r="A14" s="69" t="s">
        <v>276</v>
      </c>
      <c r="B14" s="73" t="s">
        <v>249</v>
      </c>
      <c r="C14" s="73" t="s">
        <v>245</v>
      </c>
      <c r="D14" s="79" t="s">
        <v>182</v>
      </c>
      <c r="E14" s="74" t="s">
        <v>334</v>
      </c>
    </row>
    <row r="15" spans="1:6" x14ac:dyDescent="0.3">
      <c r="A15" s="69" t="s">
        <v>269</v>
      </c>
      <c r="B15" s="73" t="s">
        <v>249</v>
      </c>
      <c r="C15" s="73" t="s">
        <v>245</v>
      </c>
      <c r="D15" s="79" t="s">
        <v>182</v>
      </c>
      <c r="E15" s="74" t="s">
        <v>91</v>
      </c>
    </row>
    <row r="16" spans="1:6" x14ac:dyDescent="0.3">
      <c r="A16" s="69" t="s">
        <v>277</v>
      </c>
      <c r="B16" s="73" t="s">
        <v>249</v>
      </c>
      <c r="C16" s="73" t="s">
        <v>245</v>
      </c>
      <c r="D16" s="79" t="s">
        <v>182</v>
      </c>
      <c r="E16" s="74" t="s">
        <v>250</v>
      </c>
    </row>
    <row r="17" spans="1:5" x14ac:dyDescent="0.3">
      <c r="A17" s="69" t="s">
        <v>263</v>
      </c>
      <c r="B17" s="73" t="s">
        <v>249</v>
      </c>
      <c r="C17" s="73" t="s">
        <v>245</v>
      </c>
      <c r="D17" s="79" t="s">
        <v>182</v>
      </c>
      <c r="E17" s="74" t="s">
        <v>250</v>
      </c>
    </row>
    <row r="18" spans="1:5" x14ac:dyDescent="0.3">
      <c r="A18" s="69" t="s">
        <v>264</v>
      </c>
      <c r="B18" s="73" t="s">
        <v>249</v>
      </c>
      <c r="C18" s="73" t="s">
        <v>245</v>
      </c>
      <c r="D18" s="79" t="s">
        <v>182</v>
      </c>
      <c r="E18" s="74" t="s">
        <v>250</v>
      </c>
    </row>
    <row r="19" spans="1:5" x14ac:dyDescent="0.3">
      <c r="A19" s="75" t="s">
        <v>325</v>
      </c>
      <c r="B19" s="76" t="s">
        <v>249</v>
      </c>
      <c r="C19" s="76" t="s">
        <v>245</v>
      </c>
      <c r="D19" s="80" t="s">
        <v>182</v>
      </c>
      <c r="E19" s="77" t="s">
        <v>250</v>
      </c>
    </row>
    <row r="20" spans="1:5" x14ac:dyDescent="0.3">
      <c r="A20" s="69" t="s">
        <v>270</v>
      </c>
      <c r="B20" s="73" t="s">
        <v>249</v>
      </c>
      <c r="C20" s="73" t="s">
        <v>245</v>
      </c>
      <c r="D20" s="79" t="s">
        <v>182</v>
      </c>
      <c r="E20" s="74" t="s">
        <v>250</v>
      </c>
    </row>
    <row r="21" spans="1:5" x14ac:dyDescent="0.3">
      <c r="A21" s="69" t="s">
        <v>272</v>
      </c>
      <c r="B21" s="73" t="s">
        <v>249</v>
      </c>
      <c r="C21" s="73" t="s">
        <v>245</v>
      </c>
      <c r="D21" s="79" t="s">
        <v>182</v>
      </c>
      <c r="E21" s="74" t="s">
        <v>250</v>
      </c>
    </row>
    <row r="22" spans="1:5" x14ac:dyDescent="0.3">
      <c r="A22" s="69" t="s">
        <v>273</v>
      </c>
      <c r="B22" s="73" t="s">
        <v>249</v>
      </c>
      <c r="C22" s="73" t="s">
        <v>245</v>
      </c>
      <c r="D22" s="79" t="s">
        <v>182</v>
      </c>
      <c r="E22" s="74" t="s">
        <v>250</v>
      </c>
    </row>
    <row r="23" spans="1:5" x14ac:dyDescent="0.3">
      <c r="A23" s="69" t="s">
        <v>278</v>
      </c>
      <c r="B23" s="73" t="s">
        <v>249</v>
      </c>
      <c r="C23" s="73" t="s">
        <v>245</v>
      </c>
      <c r="D23" s="79" t="s">
        <v>182</v>
      </c>
      <c r="E23" s="74" t="s">
        <v>250</v>
      </c>
    </row>
    <row r="24" spans="1:5" x14ac:dyDescent="0.3">
      <c r="A24" s="69" t="s">
        <v>253</v>
      </c>
      <c r="B24" s="73" t="s">
        <v>249</v>
      </c>
      <c r="C24" s="78" t="s">
        <v>242</v>
      </c>
      <c r="D24" s="79" t="s">
        <v>182</v>
      </c>
      <c r="E24" s="79" t="s">
        <v>91</v>
      </c>
    </row>
    <row r="25" spans="1:5" x14ac:dyDescent="0.3">
      <c r="A25" s="69" t="s">
        <v>259</v>
      </c>
      <c r="B25" s="73" t="s">
        <v>249</v>
      </c>
      <c r="C25" s="78" t="s">
        <v>242</v>
      </c>
      <c r="D25" s="79" t="s">
        <v>182</v>
      </c>
      <c r="E25" s="74" t="s">
        <v>334</v>
      </c>
    </row>
    <row r="26" spans="1:5" x14ac:dyDescent="0.3">
      <c r="A26" s="69" t="s">
        <v>261</v>
      </c>
      <c r="B26" s="73" t="s">
        <v>249</v>
      </c>
      <c r="C26" s="78" t="s">
        <v>242</v>
      </c>
      <c r="D26" s="79" t="s">
        <v>182</v>
      </c>
      <c r="E26" s="74" t="s">
        <v>334</v>
      </c>
    </row>
    <row r="27" spans="1:5" x14ac:dyDescent="0.3">
      <c r="A27" s="69" t="s">
        <v>262</v>
      </c>
      <c r="B27" s="73" t="s">
        <v>249</v>
      </c>
      <c r="C27" s="78" t="s">
        <v>242</v>
      </c>
      <c r="D27" s="79" t="s">
        <v>182</v>
      </c>
      <c r="E27" s="74" t="s">
        <v>334</v>
      </c>
    </row>
    <row r="28" spans="1:5" x14ac:dyDescent="0.3">
      <c r="A28" s="69" t="s">
        <v>254</v>
      </c>
      <c r="B28" s="73" t="s">
        <v>249</v>
      </c>
      <c r="C28" s="78" t="s">
        <v>242</v>
      </c>
      <c r="D28" s="79" t="s">
        <v>182</v>
      </c>
      <c r="E28" s="79" t="s">
        <v>91</v>
      </c>
    </row>
    <row r="29" spans="1:5" x14ac:dyDescent="0.3">
      <c r="A29" s="69" t="s">
        <v>255</v>
      </c>
      <c r="B29" s="73" t="s">
        <v>249</v>
      </c>
      <c r="C29" s="78" t="s">
        <v>242</v>
      </c>
      <c r="D29" s="79" t="s">
        <v>182</v>
      </c>
      <c r="E29" s="79" t="s">
        <v>91</v>
      </c>
    </row>
    <row r="30" spans="1:5" x14ac:dyDescent="0.3">
      <c r="A30" s="69" t="s">
        <v>256</v>
      </c>
      <c r="B30" s="73" t="s">
        <v>249</v>
      </c>
      <c r="C30" s="78" t="s">
        <v>242</v>
      </c>
      <c r="D30" s="79" t="s">
        <v>182</v>
      </c>
      <c r="E30" s="79" t="s">
        <v>91</v>
      </c>
    </row>
    <row r="31" spans="1:5" x14ac:dyDescent="0.3">
      <c r="A31" s="69" t="s">
        <v>266</v>
      </c>
      <c r="B31" s="73" t="s">
        <v>249</v>
      </c>
      <c r="C31" s="78" t="s">
        <v>242</v>
      </c>
      <c r="D31" s="79" t="s">
        <v>182</v>
      </c>
      <c r="E31" s="74" t="s">
        <v>334</v>
      </c>
    </row>
    <row r="32" spans="1:5" x14ac:dyDescent="0.3">
      <c r="A32" s="69" t="s">
        <v>257</v>
      </c>
      <c r="B32" s="73" t="s">
        <v>249</v>
      </c>
      <c r="C32" s="78" t="s">
        <v>242</v>
      </c>
      <c r="D32" s="79" t="s">
        <v>182</v>
      </c>
      <c r="E32" s="79" t="s">
        <v>91</v>
      </c>
    </row>
    <row r="33" spans="1:5" x14ac:dyDescent="0.3">
      <c r="A33" s="69" t="s">
        <v>258</v>
      </c>
      <c r="B33" s="73" t="s">
        <v>249</v>
      </c>
      <c r="C33" s="78" t="s">
        <v>242</v>
      </c>
      <c r="D33" s="79" t="s">
        <v>182</v>
      </c>
      <c r="E33" s="79" t="s">
        <v>91</v>
      </c>
    </row>
    <row r="34" spans="1:5" x14ac:dyDescent="0.3">
      <c r="A34" s="69" t="s">
        <v>267</v>
      </c>
      <c r="B34" s="73" t="s">
        <v>249</v>
      </c>
      <c r="C34" s="78" t="s">
        <v>242</v>
      </c>
      <c r="D34" s="79" t="s">
        <v>182</v>
      </c>
      <c r="E34" s="74" t="s">
        <v>334</v>
      </c>
    </row>
    <row r="35" spans="1:5" x14ac:dyDescent="0.3">
      <c r="A35" s="69" t="s">
        <v>268</v>
      </c>
      <c r="B35" s="73" t="s">
        <v>249</v>
      </c>
      <c r="C35" s="78" t="s">
        <v>242</v>
      </c>
      <c r="D35" s="79" t="s">
        <v>182</v>
      </c>
      <c r="E35" s="74" t="s">
        <v>334</v>
      </c>
    </row>
    <row r="36" spans="1:5" x14ac:dyDescent="0.3">
      <c r="A36" s="69" t="s">
        <v>265</v>
      </c>
      <c r="B36" s="73" t="s">
        <v>249</v>
      </c>
      <c r="C36" s="78" t="s">
        <v>242</v>
      </c>
      <c r="D36" s="79" t="s">
        <v>182</v>
      </c>
      <c r="E36" s="79" t="s">
        <v>91</v>
      </c>
    </row>
    <row r="37" spans="1:5" x14ac:dyDescent="0.3">
      <c r="A37" s="69" t="s">
        <v>275</v>
      </c>
      <c r="B37" s="73" t="s">
        <v>249</v>
      </c>
      <c r="C37" s="78" t="s">
        <v>242</v>
      </c>
      <c r="D37" s="79" t="s">
        <v>182</v>
      </c>
      <c r="E37" s="74" t="s">
        <v>334</v>
      </c>
    </row>
    <row r="38" spans="1:5" x14ac:dyDescent="0.3">
      <c r="A38" s="69" t="s">
        <v>279</v>
      </c>
      <c r="B38" s="73" t="s">
        <v>249</v>
      </c>
      <c r="C38" s="78" t="s">
        <v>242</v>
      </c>
      <c r="D38" s="79" t="s">
        <v>182</v>
      </c>
      <c r="E38" s="74" t="s">
        <v>250</v>
      </c>
    </row>
    <row r="39" spans="1:5" x14ac:dyDescent="0.3">
      <c r="A39" s="69" t="s">
        <v>280</v>
      </c>
      <c r="B39" s="73" t="s">
        <v>249</v>
      </c>
      <c r="C39" s="78" t="s">
        <v>242</v>
      </c>
      <c r="D39" s="79" t="s">
        <v>182</v>
      </c>
      <c r="E39" s="74" t="s">
        <v>250</v>
      </c>
    </row>
    <row r="40" spans="1:5" x14ac:dyDescent="0.3">
      <c r="A40" s="69" t="s">
        <v>326</v>
      </c>
      <c r="B40" s="78" t="s">
        <v>251</v>
      </c>
      <c r="C40" s="78" t="s">
        <v>242</v>
      </c>
      <c r="D40" s="79" t="s">
        <v>182</v>
      </c>
      <c r="E40" s="79" t="s">
        <v>91</v>
      </c>
    </row>
    <row r="41" spans="1:5" x14ac:dyDescent="0.3">
      <c r="A41" s="69" t="s">
        <v>327</v>
      </c>
      <c r="B41" s="78" t="s">
        <v>251</v>
      </c>
      <c r="C41" s="78" t="s">
        <v>242</v>
      </c>
      <c r="D41" s="79" t="s">
        <v>182</v>
      </c>
      <c r="E41" s="79" t="s">
        <v>91</v>
      </c>
    </row>
    <row r="42" spans="1:5" x14ac:dyDescent="0.3">
      <c r="A42" s="69" t="s">
        <v>328</v>
      </c>
      <c r="B42" s="78" t="s">
        <v>251</v>
      </c>
      <c r="C42" s="78" t="s">
        <v>242</v>
      </c>
      <c r="D42" s="79" t="s">
        <v>182</v>
      </c>
      <c r="E42" s="74" t="s">
        <v>334</v>
      </c>
    </row>
    <row r="43" spans="1:5" x14ac:dyDescent="0.3">
      <c r="A43" s="69" t="s">
        <v>329</v>
      </c>
      <c r="B43" s="78" t="s">
        <v>251</v>
      </c>
      <c r="C43" s="78" t="s">
        <v>242</v>
      </c>
      <c r="D43" s="79" t="s">
        <v>182</v>
      </c>
      <c r="E43" s="74" t="s">
        <v>334</v>
      </c>
    </row>
    <row r="44" spans="1:5" x14ac:dyDescent="0.3">
      <c r="A44" s="69" t="s">
        <v>330</v>
      </c>
      <c r="B44" s="78" t="s">
        <v>251</v>
      </c>
      <c r="C44" s="78" t="s">
        <v>242</v>
      </c>
      <c r="D44" s="79" t="s">
        <v>182</v>
      </c>
      <c r="E44" s="79" t="s">
        <v>91</v>
      </c>
    </row>
    <row r="45" spans="1:5" x14ac:dyDescent="0.3">
      <c r="A45" s="69" t="s">
        <v>331</v>
      </c>
      <c r="B45" s="78" t="s">
        <v>251</v>
      </c>
      <c r="C45" s="78" t="s">
        <v>242</v>
      </c>
      <c r="D45" s="79" t="s">
        <v>182</v>
      </c>
      <c r="E45" s="74" t="s">
        <v>334</v>
      </c>
    </row>
    <row r="46" spans="1:5" x14ac:dyDescent="0.3">
      <c r="A46" s="69" t="s">
        <v>332</v>
      </c>
      <c r="B46" s="78" t="s">
        <v>251</v>
      </c>
      <c r="C46" s="78" t="s">
        <v>242</v>
      </c>
      <c r="D46" s="79" t="s">
        <v>182</v>
      </c>
      <c r="E46" s="74" t="s">
        <v>334</v>
      </c>
    </row>
    <row r="47" spans="1:5" x14ac:dyDescent="0.3">
      <c r="A47" s="69" t="s">
        <v>333</v>
      </c>
      <c r="B47" s="78" t="s">
        <v>251</v>
      </c>
      <c r="C47" s="78" t="s">
        <v>242</v>
      </c>
      <c r="D47" s="79" t="s">
        <v>182</v>
      </c>
      <c r="E47" s="74" t="s">
        <v>334</v>
      </c>
    </row>
    <row r="48" spans="1:5" x14ac:dyDescent="0.3">
      <c r="A48" s="69" t="s">
        <v>297</v>
      </c>
      <c r="B48" s="78" t="s">
        <v>251</v>
      </c>
      <c r="C48" s="78" t="s">
        <v>242</v>
      </c>
      <c r="D48" s="79" t="s">
        <v>182</v>
      </c>
      <c r="E48" s="79" t="s">
        <v>91</v>
      </c>
    </row>
    <row r="49" spans="1:5" x14ac:dyDescent="0.3">
      <c r="A49" s="69" t="s">
        <v>285</v>
      </c>
      <c r="B49" s="78" t="s">
        <v>251</v>
      </c>
      <c r="C49" s="78" t="s">
        <v>242</v>
      </c>
      <c r="D49" s="79" t="s">
        <v>182</v>
      </c>
      <c r="E49" s="74" t="s">
        <v>334</v>
      </c>
    </row>
    <row r="50" spans="1:5" x14ac:dyDescent="0.3">
      <c r="A50" s="69" t="s">
        <v>298</v>
      </c>
      <c r="B50" s="78" t="s">
        <v>251</v>
      </c>
      <c r="C50" s="78" t="s">
        <v>242</v>
      </c>
      <c r="D50" s="79" t="s">
        <v>182</v>
      </c>
      <c r="E50" s="79" t="s">
        <v>91</v>
      </c>
    </row>
    <row r="51" spans="1:5" x14ac:dyDescent="0.3">
      <c r="A51" s="69" t="s">
        <v>299</v>
      </c>
      <c r="B51" s="78" t="s">
        <v>251</v>
      </c>
      <c r="C51" s="78" t="s">
        <v>242</v>
      </c>
      <c r="D51" s="79" t="s">
        <v>182</v>
      </c>
      <c r="E51" s="79" t="s">
        <v>91</v>
      </c>
    </row>
    <row r="52" spans="1:5" x14ac:dyDescent="0.3">
      <c r="A52" s="69" t="s">
        <v>291</v>
      </c>
      <c r="B52" s="78" t="s">
        <v>251</v>
      </c>
      <c r="C52" s="78" t="s">
        <v>242</v>
      </c>
      <c r="D52" s="79" t="s">
        <v>182</v>
      </c>
      <c r="E52" s="74" t="s">
        <v>334</v>
      </c>
    </row>
    <row r="53" spans="1:5" x14ac:dyDescent="0.3">
      <c r="A53" s="69" t="s">
        <v>286</v>
      </c>
      <c r="B53" s="78" t="s">
        <v>251</v>
      </c>
      <c r="C53" s="78" t="s">
        <v>245</v>
      </c>
      <c r="D53" s="79" t="s">
        <v>182</v>
      </c>
      <c r="E53" s="79" t="s">
        <v>91</v>
      </c>
    </row>
    <row r="54" spans="1:5" x14ac:dyDescent="0.3">
      <c r="A54" s="69" t="s">
        <v>281</v>
      </c>
      <c r="B54" s="78" t="s">
        <v>251</v>
      </c>
      <c r="C54" s="78" t="s">
        <v>245</v>
      </c>
      <c r="D54" s="79" t="s">
        <v>182</v>
      </c>
      <c r="E54" s="74" t="s">
        <v>334</v>
      </c>
    </row>
    <row r="55" spans="1:5" x14ac:dyDescent="0.3">
      <c r="A55" s="69" t="s">
        <v>288</v>
      </c>
      <c r="B55" s="78" t="s">
        <v>251</v>
      </c>
      <c r="C55" s="78" t="s">
        <v>245</v>
      </c>
      <c r="D55" s="79" t="s">
        <v>182</v>
      </c>
      <c r="E55" s="79" t="s">
        <v>91</v>
      </c>
    </row>
    <row r="56" spans="1:5" x14ac:dyDescent="0.3">
      <c r="A56" s="69" t="s">
        <v>289</v>
      </c>
      <c r="B56" s="78" t="s">
        <v>251</v>
      </c>
      <c r="C56" s="78" t="s">
        <v>245</v>
      </c>
      <c r="D56" s="79" t="s">
        <v>182</v>
      </c>
      <c r="E56" s="79" t="s">
        <v>91</v>
      </c>
    </row>
    <row r="57" spans="1:5" x14ac:dyDescent="0.3">
      <c r="A57" s="69" t="s">
        <v>282</v>
      </c>
      <c r="B57" s="78" t="s">
        <v>251</v>
      </c>
      <c r="C57" s="78" t="s">
        <v>245</v>
      </c>
      <c r="D57" s="79" t="s">
        <v>182</v>
      </c>
      <c r="E57" s="74" t="s">
        <v>334</v>
      </c>
    </row>
    <row r="58" spans="1:5" x14ac:dyDescent="0.3">
      <c r="A58" s="69" t="s">
        <v>283</v>
      </c>
      <c r="B58" s="78" t="s">
        <v>251</v>
      </c>
      <c r="C58" s="78" t="s">
        <v>245</v>
      </c>
      <c r="D58" s="79" t="s">
        <v>182</v>
      </c>
      <c r="E58" s="74" t="s">
        <v>334</v>
      </c>
    </row>
    <row r="59" spans="1:5" x14ac:dyDescent="0.3">
      <c r="A59" s="69" t="s">
        <v>290</v>
      </c>
      <c r="B59" s="78" t="s">
        <v>251</v>
      </c>
      <c r="C59" s="78" t="s">
        <v>245</v>
      </c>
      <c r="D59" s="79" t="s">
        <v>182</v>
      </c>
      <c r="E59" s="79" t="s">
        <v>91</v>
      </c>
    </row>
    <row r="60" spans="1:5" x14ac:dyDescent="0.3">
      <c r="A60" s="69" t="s">
        <v>284</v>
      </c>
      <c r="B60" s="78" t="s">
        <v>251</v>
      </c>
      <c r="C60" s="78" t="s">
        <v>245</v>
      </c>
      <c r="D60" s="79" t="s">
        <v>182</v>
      </c>
      <c r="E60" s="74" t="s">
        <v>334</v>
      </c>
    </row>
    <row r="61" spans="1:5" x14ac:dyDescent="0.3">
      <c r="A61" s="69" t="s">
        <v>293</v>
      </c>
      <c r="B61" s="78" t="s">
        <v>251</v>
      </c>
      <c r="C61" s="78" t="s">
        <v>245</v>
      </c>
      <c r="D61" s="79" t="s">
        <v>182</v>
      </c>
      <c r="E61" s="79" t="s">
        <v>91</v>
      </c>
    </row>
    <row r="62" spans="1:5" x14ac:dyDescent="0.3">
      <c r="A62" s="69" t="s">
        <v>294</v>
      </c>
      <c r="B62" s="78" t="s">
        <v>251</v>
      </c>
      <c r="C62" s="78" t="s">
        <v>245</v>
      </c>
      <c r="D62" s="79" t="s">
        <v>182</v>
      </c>
      <c r="E62" s="79" t="s">
        <v>91</v>
      </c>
    </row>
    <row r="63" spans="1:5" x14ac:dyDescent="0.3">
      <c r="A63" s="69" t="s">
        <v>295</v>
      </c>
      <c r="B63" s="78" t="s">
        <v>251</v>
      </c>
      <c r="C63" s="78" t="s">
        <v>245</v>
      </c>
      <c r="D63" s="79" t="s">
        <v>182</v>
      </c>
      <c r="E63" s="79" t="s">
        <v>91</v>
      </c>
    </row>
    <row r="64" spans="1:5" x14ac:dyDescent="0.3">
      <c r="A64" s="69" t="s">
        <v>300</v>
      </c>
      <c r="B64" s="78" t="s">
        <v>251</v>
      </c>
      <c r="C64" s="78" t="s">
        <v>245</v>
      </c>
      <c r="D64" s="79" t="s">
        <v>182</v>
      </c>
      <c r="E64" s="79" t="s">
        <v>91</v>
      </c>
    </row>
    <row r="65" spans="1:5" x14ac:dyDescent="0.3">
      <c r="A65" s="69" t="s">
        <v>287</v>
      </c>
      <c r="B65" s="78" t="s">
        <v>251</v>
      </c>
      <c r="C65" s="78" t="s">
        <v>245</v>
      </c>
      <c r="D65" s="79" t="s">
        <v>182</v>
      </c>
      <c r="E65" s="74" t="s">
        <v>334</v>
      </c>
    </row>
    <row r="66" spans="1:5" x14ac:dyDescent="0.3">
      <c r="A66" s="69" t="s">
        <v>292</v>
      </c>
      <c r="B66" s="78" t="s">
        <v>251</v>
      </c>
      <c r="C66" s="78" t="s">
        <v>245</v>
      </c>
      <c r="D66" s="79" t="s">
        <v>182</v>
      </c>
      <c r="E66" s="74" t="s">
        <v>334</v>
      </c>
    </row>
    <row r="67" spans="1:5" x14ac:dyDescent="0.3">
      <c r="A67" s="69" t="s">
        <v>296</v>
      </c>
      <c r="B67" s="78" t="s">
        <v>251</v>
      </c>
      <c r="C67" s="78" t="s">
        <v>245</v>
      </c>
      <c r="D67" s="74" t="s">
        <v>182</v>
      </c>
      <c r="E67" s="74" t="s">
        <v>334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0"/>
  <sheetViews>
    <sheetView zoomScale="70" zoomScaleNormal="70" workbookViewId="0">
      <selection activeCell="O26" sqref="O26"/>
    </sheetView>
  </sheetViews>
  <sheetFormatPr defaultColWidth="11.19921875" defaultRowHeight="15.6" x14ac:dyDescent="0.3"/>
  <cols>
    <col min="1" max="3" width="14.296875" customWidth="1"/>
    <col min="4" max="4" width="12.796875" customWidth="1"/>
    <col min="6" max="20" width="11.19921875" style="4"/>
  </cols>
  <sheetData>
    <row r="1" spans="1:33" x14ac:dyDescent="0.3">
      <c r="A1" s="213"/>
      <c r="B1" s="214"/>
      <c r="C1" s="214"/>
      <c r="D1" s="215"/>
      <c r="E1" s="211" t="s">
        <v>304</v>
      </c>
      <c r="F1" s="211"/>
      <c r="G1" s="211"/>
      <c r="H1" s="211"/>
      <c r="I1" s="211"/>
      <c r="J1" s="211"/>
      <c r="K1" s="211"/>
      <c r="L1" s="211"/>
      <c r="M1" s="211" t="s">
        <v>7</v>
      </c>
      <c r="N1" s="211"/>
      <c r="O1" s="211"/>
      <c r="P1" s="211"/>
      <c r="Q1" s="211"/>
      <c r="R1" s="211"/>
      <c r="S1" s="211"/>
      <c r="T1" s="211" t="s">
        <v>8</v>
      </c>
      <c r="U1" s="211"/>
      <c r="V1" s="211"/>
      <c r="W1" s="211"/>
      <c r="X1" s="211"/>
      <c r="Y1" s="211"/>
      <c r="Z1" s="211"/>
      <c r="AA1" s="211" t="s">
        <v>9</v>
      </c>
      <c r="AB1" s="211"/>
      <c r="AC1" s="211"/>
      <c r="AD1" s="211"/>
      <c r="AE1" s="211"/>
      <c r="AF1" s="211"/>
      <c r="AG1" s="212"/>
    </row>
    <row r="2" spans="1:33" ht="16.2" thickBot="1" x14ac:dyDescent="0.35">
      <c r="A2" s="63" t="s">
        <v>1</v>
      </c>
      <c r="B2" s="65" t="s">
        <v>338</v>
      </c>
      <c r="C2" s="65" t="s">
        <v>247</v>
      </c>
      <c r="D2" s="88" t="s">
        <v>335</v>
      </c>
      <c r="E2" s="65" t="s">
        <v>10</v>
      </c>
      <c r="F2" s="65" t="s">
        <v>11</v>
      </c>
      <c r="G2" s="65" t="s">
        <v>12</v>
      </c>
      <c r="H2" s="89" t="s">
        <v>13</v>
      </c>
      <c r="I2" s="89" t="s">
        <v>14</v>
      </c>
      <c r="J2" s="89" t="s">
        <v>15</v>
      </c>
      <c r="K2" s="89" t="s">
        <v>82</v>
      </c>
      <c r="L2" s="89" t="s">
        <v>83</v>
      </c>
      <c r="M2" s="65" t="s">
        <v>16</v>
      </c>
      <c r="N2" s="65" t="s">
        <v>17</v>
      </c>
      <c r="O2" s="65" t="s">
        <v>18</v>
      </c>
      <c r="P2" s="65" t="s">
        <v>19</v>
      </c>
      <c r="Q2" s="65" t="s">
        <v>20</v>
      </c>
      <c r="R2" s="65" t="s">
        <v>84</v>
      </c>
      <c r="S2" s="65" t="s">
        <v>85</v>
      </c>
      <c r="T2" s="65" t="s">
        <v>21</v>
      </c>
      <c r="U2" s="65" t="s">
        <v>22</v>
      </c>
      <c r="V2" s="65" t="s">
        <v>23</v>
      </c>
      <c r="W2" s="65" t="s">
        <v>24</v>
      </c>
      <c r="X2" s="65" t="s">
        <v>25</v>
      </c>
      <c r="Y2" s="65" t="s">
        <v>86</v>
      </c>
      <c r="Z2" s="65" t="s">
        <v>87</v>
      </c>
      <c r="AA2" s="65" t="s">
        <v>26</v>
      </c>
      <c r="AB2" s="65" t="s">
        <v>27</v>
      </c>
      <c r="AC2" s="65" t="s">
        <v>28</v>
      </c>
      <c r="AD2" s="65" t="s">
        <v>29</v>
      </c>
      <c r="AE2" s="65" t="s">
        <v>30</v>
      </c>
      <c r="AF2" s="65" t="s">
        <v>88</v>
      </c>
      <c r="AG2" s="87" t="s">
        <v>89</v>
      </c>
    </row>
    <row r="3" spans="1:33" x14ac:dyDescent="0.3">
      <c r="A3" s="85" t="s">
        <v>317</v>
      </c>
      <c r="B3" s="58" t="s">
        <v>249</v>
      </c>
      <c r="C3" s="58" t="s">
        <v>245</v>
      </c>
      <c r="D3" s="72" t="s">
        <v>91</v>
      </c>
      <c r="E3" s="154">
        <v>20.079999999999998</v>
      </c>
      <c r="F3" s="155">
        <v>19.329999999999998</v>
      </c>
      <c r="G3" s="155">
        <v>19.8</v>
      </c>
      <c r="H3" s="155">
        <v>19.48</v>
      </c>
      <c r="I3" s="155">
        <v>20.45</v>
      </c>
      <c r="J3" s="155">
        <v>20.12</v>
      </c>
      <c r="K3" s="155">
        <v>19.579999999999998</v>
      </c>
      <c r="L3" s="156">
        <v>20.12</v>
      </c>
      <c r="M3" s="70">
        <v>0</v>
      </c>
      <c r="N3" s="58">
        <v>1</v>
      </c>
      <c r="O3" s="58">
        <v>1</v>
      </c>
      <c r="P3" s="58">
        <v>1</v>
      </c>
      <c r="Q3" s="58">
        <v>1</v>
      </c>
      <c r="R3" s="58">
        <v>1</v>
      </c>
      <c r="S3" s="72">
        <v>1</v>
      </c>
      <c r="T3" s="163">
        <v>1</v>
      </c>
      <c r="U3" s="52">
        <v>0</v>
      </c>
      <c r="V3" s="52">
        <v>0</v>
      </c>
      <c r="W3" s="52">
        <v>0</v>
      </c>
      <c r="X3" s="52">
        <v>0</v>
      </c>
      <c r="Y3" s="52">
        <v>0</v>
      </c>
      <c r="Z3" s="164">
        <v>0</v>
      </c>
      <c r="AA3" s="70">
        <v>1</v>
      </c>
      <c r="AB3" s="58">
        <v>1</v>
      </c>
      <c r="AC3" s="58">
        <v>1</v>
      </c>
      <c r="AD3" s="58">
        <v>1</v>
      </c>
      <c r="AE3" s="58">
        <v>1</v>
      </c>
      <c r="AF3" s="58">
        <v>1</v>
      </c>
      <c r="AG3" s="84">
        <v>1</v>
      </c>
    </row>
    <row r="4" spans="1:33" x14ac:dyDescent="0.3">
      <c r="A4" s="85" t="s">
        <v>318</v>
      </c>
      <c r="B4" s="58" t="s">
        <v>249</v>
      </c>
      <c r="C4" s="58" t="s">
        <v>245</v>
      </c>
      <c r="D4" s="72" t="s">
        <v>91</v>
      </c>
      <c r="E4" s="157">
        <v>17.84</v>
      </c>
      <c r="F4" s="128">
        <v>16.809999999999999</v>
      </c>
      <c r="G4" s="128">
        <v>16.72</v>
      </c>
      <c r="H4" s="128">
        <v>16.690000000000001</v>
      </c>
      <c r="I4" s="128">
        <v>17.649999999999999</v>
      </c>
      <c r="J4" s="128">
        <v>18.2</v>
      </c>
      <c r="K4" s="128">
        <v>18.28</v>
      </c>
      <c r="L4" s="158">
        <v>18.350000000000001</v>
      </c>
      <c r="M4" s="70">
        <v>1</v>
      </c>
      <c r="N4" s="58">
        <v>1</v>
      </c>
      <c r="O4" s="58">
        <v>1</v>
      </c>
      <c r="P4" s="58">
        <v>1</v>
      </c>
      <c r="Q4" s="58">
        <v>1</v>
      </c>
      <c r="R4" s="58">
        <v>1</v>
      </c>
      <c r="S4" s="72">
        <v>1</v>
      </c>
      <c r="T4" s="165">
        <v>1</v>
      </c>
      <c r="U4" s="116">
        <v>0</v>
      </c>
      <c r="V4" s="116">
        <v>0</v>
      </c>
      <c r="W4" s="116">
        <v>0</v>
      </c>
      <c r="X4" s="116">
        <v>0</v>
      </c>
      <c r="Y4" s="116">
        <v>0</v>
      </c>
      <c r="Z4" s="166">
        <v>0</v>
      </c>
      <c r="AA4" s="70">
        <v>1</v>
      </c>
      <c r="AB4" s="58">
        <v>1</v>
      </c>
      <c r="AC4" s="58">
        <v>1</v>
      </c>
      <c r="AD4" s="58">
        <v>1</v>
      </c>
      <c r="AE4" s="58">
        <v>1</v>
      </c>
      <c r="AF4" s="58">
        <v>1</v>
      </c>
      <c r="AG4" s="84">
        <v>1</v>
      </c>
    </row>
    <row r="5" spans="1:33" x14ac:dyDescent="0.3">
      <c r="A5" s="85" t="s">
        <v>320</v>
      </c>
      <c r="B5" s="58" t="s">
        <v>249</v>
      </c>
      <c r="C5" s="58" t="s">
        <v>245</v>
      </c>
      <c r="D5" s="72" t="s">
        <v>91</v>
      </c>
      <c r="E5" s="157">
        <v>18.25</v>
      </c>
      <c r="F5" s="128">
        <v>16.61</v>
      </c>
      <c r="G5" s="128">
        <v>18.21</v>
      </c>
      <c r="H5" s="128">
        <v>18.55</v>
      </c>
      <c r="I5" s="128">
        <v>19</v>
      </c>
      <c r="J5" s="128">
        <v>19.32</v>
      </c>
      <c r="K5" s="128">
        <v>19.420000000000002</v>
      </c>
      <c r="L5" s="158">
        <v>19.04</v>
      </c>
      <c r="M5" s="70">
        <v>2</v>
      </c>
      <c r="N5" s="58">
        <v>1</v>
      </c>
      <c r="O5" s="58">
        <v>1</v>
      </c>
      <c r="P5" s="58">
        <v>1</v>
      </c>
      <c r="Q5" s="58">
        <v>1</v>
      </c>
      <c r="R5" s="58">
        <v>1</v>
      </c>
      <c r="S5" s="72">
        <v>1</v>
      </c>
      <c r="T5" s="165">
        <v>0</v>
      </c>
      <c r="U5" s="116">
        <v>1</v>
      </c>
      <c r="V5" s="116">
        <v>0</v>
      </c>
      <c r="W5" s="116">
        <v>0</v>
      </c>
      <c r="X5" s="116">
        <v>0</v>
      </c>
      <c r="Y5" s="116">
        <v>1</v>
      </c>
      <c r="Z5" s="166">
        <v>1</v>
      </c>
      <c r="AA5" s="70">
        <v>1</v>
      </c>
      <c r="AB5" s="58">
        <v>1</v>
      </c>
      <c r="AC5" s="58">
        <v>1</v>
      </c>
      <c r="AD5" s="58">
        <v>1</v>
      </c>
      <c r="AE5" s="58">
        <v>1</v>
      </c>
      <c r="AF5" s="58">
        <v>1</v>
      </c>
      <c r="AG5" s="84">
        <v>1</v>
      </c>
    </row>
    <row r="6" spans="1:33" x14ac:dyDescent="0.3">
      <c r="A6" s="85" t="s">
        <v>322</v>
      </c>
      <c r="B6" s="58" t="s">
        <v>249</v>
      </c>
      <c r="C6" s="58" t="s">
        <v>245</v>
      </c>
      <c r="D6" s="72" t="s">
        <v>91</v>
      </c>
      <c r="E6" s="157">
        <v>21.03</v>
      </c>
      <c r="F6" s="128">
        <v>20.02</v>
      </c>
      <c r="G6" s="128">
        <v>20.45</v>
      </c>
      <c r="H6" s="128">
        <v>20.350000000000001</v>
      </c>
      <c r="I6" s="128">
        <v>20.48</v>
      </c>
      <c r="J6" s="128">
        <v>20.43</v>
      </c>
      <c r="K6" s="128">
        <v>20.39</v>
      </c>
      <c r="L6" s="158">
        <v>21.2</v>
      </c>
      <c r="M6" s="70">
        <v>1</v>
      </c>
      <c r="N6" s="58">
        <v>1</v>
      </c>
      <c r="O6" s="58">
        <v>1</v>
      </c>
      <c r="P6" s="58">
        <v>1</v>
      </c>
      <c r="Q6" s="58">
        <v>1</v>
      </c>
      <c r="R6" s="58">
        <v>1</v>
      </c>
      <c r="S6" s="72">
        <v>1</v>
      </c>
      <c r="T6" s="165">
        <v>1</v>
      </c>
      <c r="U6" s="116">
        <v>0</v>
      </c>
      <c r="V6" s="116">
        <v>0</v>
      </c>
      <c r="W6" s="116">
        <v>0</v>
      </c>
      <c r="X6" s="116">
        <v>0</v>
      </c>
      <c r="Y6" s="116">
        <v>0</v>
      </c>
      <c r="Z6" s="166">
        <v>0</v>
      </c>
      <c r="AA6" s="70">
        <v>1</v>
      </c>
      <c r="AB6" s="58">
        <v>1</v>
      </c>
      <c r="AC6" s="58">
        <v>1</v>
      </c>
      <c r="AD6" s="58">
        <v>1</v>
      </c>
      <c r="AE6" s="58">
        <v>1</v>
      </c>
      <c r="AF6" s="58">
        <v>1</v>
      </c>
      <c r="AG6" s="84">
        <v>1</v>
      </c>
    </row>
    <row r="7" spans="1:33" s="148" customFormat="1" x14ac:dyDescent="0.3">
      <c r="A7" s="144" t="s">
        <v>324</v>
      </c>
      <c r="B7" s="145" t="s">
        <v>249</v>
      </c>
      <c r="C7" s="145" t="s">
        <v>245</v>
      </c>
      <c r="D7" s="150" t="s">
        <v>91</v>
      </c>
      <c r="E7" s="159">
        <v>19.670000000000002</v>
      </c>
      <c r="F7" s="147">
        <v>18.03</v>
      </c>
      <c r="G7" s="147">
        <v>16.57</v>
      </c>
      <c r="H7" s="147"/>
      <c r="I7" s="147"/>
      <c r="J7" s="147"/>
      <c r="K7" s="147"/>
      <c r="L7" s="160"/>
      <c r="M7" s="152">
        <v>1</v>
      </c>
      <c r="N7" s="146">
        <v>2</v>
      </c>
      <c r="O7" s="146"/>
      <c r="P7" s="146"/>
      <c r="Q7" s="146"/>
      <c r="R7" s="146"/>
      <c r="S7" s="150"/>
      <c r="T7" s="167">
        <v>1</v>
      </c>
      <c r="U7" s="146">
        <v>1</v>
      </c>
      <c r="V7" s="146"/>
      <c r="W7" s="146"/>
      <c r="X7" s="146"/>
      <c r="Y7" s="146"/>
      <c r="Z7" s="168"/>
      <c r="AA7" s="152">
        <v>1</v>
      </c>
      <c r="AB7" s="146">
        <v>0</v>
      </c>
      <c r="AC7" s="146"/>
      <c r="AD7" s="146"/>
      <c r="AE7" s="146"/>
      <c r="AF7" s="146"/>
      <c r="AG7" s="149"/>
    </row>
    <row r="8" spans="1:33" x14ac:dyDescent="0.3">
      <c r="A8" s="85" t="s">
        <v>260</v>
      </c>
      <c r="B8" s="58" t="s">
        <v>249</v>
      </c>
      <c r="C8" s="58" t="s">
        <v>245</v>
      </c>
      <c r="D8" s="72" t="s">
        <v>91</v>
      </c>
      <c r="E8" s="157">
        <v>19.88</v>
      </c>
      <c r="F8" s="128">
        <v>19.309999999999999</v>
      </c>
      <c r="G8" s="128">
        <v>19.899999999999999</v>
      </c>
      <c r="H8" s="128">
        <v>19.329999999999998</v>
      </c>
      <c r="I8" s="128">
        <v>20.65</v>
      </c>
      <c r="J8" s="128">
        <v>20.86</v>
      </c>
      <c r="K8" s="128">
        <v>21.28</v>
      </c>
      <c r="L8" s="158">
        <v>21.1</v>
      </c>
      <c r="M8" s="70">
        <v>1</v>
      </c>
      <c r="N8" s="58">
        <v>0</v>
      </c>
      <c r="O8" s="58">
        <v>1</v>
      </c>
      <c r="P8" s="58">
        <v>1</v>
      </c>
      <c r="Q8" s="58">
        <v>1</v>
      </c>
      <c r="R8" s="58">
        <v>1</v>
      </c>
      <c r="S8" s="72">
        <v>1</v>
      </c>
      <c r="T8" s="165">
        <v>2</v>
      </c>
      <c r="U8" s="116">
        <v>1</v>
      </c>
      <c r="V8" s="116">
        <v>1</v>
      </c>
      <c r="W8" s="116">
        <v>0</v>
      </c>
      <c r="X8" s="116">
        <v>0</v>
      </c>
      <c r="Y8" s="116">
        <v>0</v>
      </c>
      <c r="Z8" s="166">
        <v>0</v>
      </c>
      <c r="AA8" s="70">
        <v>1</v>
      </c>
      <c r="AB8" s="58">
        <v>1</v>
      </c>
      <c r="AC8" s="58">
        <v>1</v>
      </c>
      <c r="AD8" s="58">
        <v>1</v>
      </c>
      <c r="AE8" s="58">
        <v>1</v>
      </c>
      <c r="AF8" s="58">
        <v>1</v>
      </c>
      <c r="AG8" s="84">
        <v>1</v>
      </c>
    </row>
    <row r="9" spans="1:33" x14ac:dyDescent="0.3">
      <c r="A9" s="85" t="s">
        <v>269</v>
      </c>
      <c r="B9" s="58" t="s">
        <v>249</v>
      </c>
      <c r="C9" s="58" t="s">
        <v>245</v>
      </c>
      <c r="D9" s="72" t="s">
        <v>91</v>
      </c>
      <c r="E9" s="157">
        <v>19.64</v>
      </c>
      <c r="F9" s="128">
        <v>19.329999999999998</v>
      </c>
      <c r="G9" s="128">
        <v>20.03</v>
      </c>
      <c r="H9" s="128">
        <v>20.100000000000001</v>
      </c>
      <c r="I9" s="128">
        <v>19.91</v>
      </c>
      <c r="J9" s="128">
        <v>19.77</v>
      </c>
      <c r="K9" s="128">
        <v>20.059999999999999</v>
      </c>
      <c r="L9" s="158">
        <v>21.27</v>
      </c>
      <c r="M9" s="70">
        <v>1</v>
      </c>
      <c r="N9" s="58">
        <v>1</v>
      </c>
      <c r="O9" s="58">
        <v>1</v>
      </c>
      <c r="P9" s="58">
        <v>1</v>
      </c>
      <c r="Q9" s="58">
        <v>1</v>
      </c>
      <c r="R9" s="58">
        <v>1</v>
      </c>
      <c r="S9" s="72">
        <v>1</v>
      </c>
      <c r="T9" s="165">
        <v>0</v>
      </c>
      <c r="U9" s="116">
        <v>0</v>
      </c>
      <c r="V9" s="116">
        <v>0</v>
      </c>
      <c r="W9" s="116">
        <v>0</v>
      </c>
      <c r="X9" s="116">
        <v>0</v>
      </c>
      <c r="Y9" s="116">
        <v>0</v>
      </c>
      <c r="Z9" s="166">
        <v>0</v>
      </c>
      <c r="AA9" s="70">
        <v>1</v>
      </c>
      <c r="AB9" s="58">
        <v>1</v>
      </c>
      <c r="AC9" s="58">
        <v>1</v>
      </c>
      <c r="AD9" s="58">
        <v>1</v>
      </c>
      <c r="AE9" s="58">
        <v>1</v>
      </c>
      <c r="AF9" s="58">
        <v>1</v>
      </c>
      <c r="AG9" s="84">
        <v>1</v>
      </c>
    </row>
    <row r="10" spans="1:33" x14ac:dyDescent="0.3">
      <c r="A10" s="85" t="s">
        <v>277</v>
      </c>
      <c r="B10" s="58" t="s">
        <v>249</v>
      </c>
      <c r="C10" s="58" t="s">
        <v>245</v>
      </c>
      <c r="D10" s="72" t="s">
        <v>250</v>
      </c>
      <c r="E10" s="157">
        <v>19.829999999999998</v>
      </c>
      <c r="F10" s="128">
        <v>20.02</v>
      </c>
      <c r="G10" s="128">
        <v>20.41</v>
      </c>
      <c r="H10" s="128">
        <v>20.91</v>
      </c>
      <c r="I10" s="128">
        <v>21.41</v>
      </c>
      <c r="J10" s="128">
        <v>21.2</v>
      </c>
      <c r="K10" s="128">
        <v>21.81</v>
      </c>
      <c r="L10" s="158">
        <v>21.71</v>
      </c>
      <c r="M10" s="70">
        <v>1</v>
      </c>
      <c r="N10" s="58">
        <v>1</v>
      </c>
      <c r="O10" s="58">
        <v>1</v>
      </c>
      <c r="P10" s="58">
        <v>0</v>
      </c>
      <c r="Q10" s="58">
        <v>0</v>
      </c>
      <c r="R10" s="58">
        <v>0</v>
      </c>
      <c r="S10" s="72">
        <v>0</v>
      </c>
      <c r="T10" s="165">
        <v>0</v>
      </c>
      <c r="U10" s="116">
        <v>0</v>
      </c>
      <c r="V10" s="116">
        <v>0</v>
      </c>
      <c r="W10" s="116">
        <v>0</v>
      </c>
      <c r="X10" s="116">
        <v>0</v>
      </c>
      <c r="Y10" s="116">
        <v>0</v>
      </c>
      <c r="Z10" s="166">
        <v>0</v>
      </c>
      <c r="AA10" s="70">
        <v>0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  <c r="AG10" s="84">
        <v>0</v>
      </c>
    </row>
    <row r="11" spans="1:33" x14ac:dyDescent="0.3">
      <c r="A11" s="85" t="s">
        <v>263</v>
      </c>
      <c r="B11" s="58" t="s">
        <v>249</v>
      </c>
      <c r="C11" s="58" t="s">
        <v>245</v>
      </c>
      <c r="D11" s="72" t="s">
        <v>250</v>
      </c>
      <c r="E11" s="157">
        <v>20.91</v>
      </c>
      <c r="F11" s="128">
        <v>19.149999999999999</v>
      </c>
      <c r="G11" s="128">
        <v>19.23</v>
      </c>
      <c r="H11" s="128">
        <v>20.3</v>
      </c>
      <c r="I11" s="128">
        <v>20.98</v>
      </c>
      <c r="J11" s="128">
        <v>20.71</v>
      </c>
      <c r="K11" s="128">
        <v>20.74</v>
      </c>
      <c r="L11" s="158">
        <v>21.17</v>
      </c>
      <c r="M11" s="70">
        <v>1</v>
      </c>
      <c r="N11" s="58">
        <v>1</v>
      </c>
      <c r="O11" s="58">
        <v>1</v>
      </c>
      <c r="P11" s="58">
        <v>1</v>
      </c>
      <c r="Q11" s="58">
        <v>1</v>
      </c>
      <c r="R11" s="58">
        <v>1</v>
      </c>
      <c r="S11" s="72">
        <v>1</v>
      </c>
      <c r="T11" s="165">
        <v>0</v>
      </c>
      <c r="U11" s="116">
        <v>0</v>
      </c>
      <c r="V11" s="116">
        <v>0</v>
      </c>
      <c r="W11" s="116">
        <v>0</v>
      </c>
      <c r="X11" s="116">
        <v>0</v>
      </c>
      <c r="Y11" s="116">
        <v>0</v>
      </c>
      <c r="Z11" s="166">
        <v>0</v>
      </c>
      <c r="AA11" s="70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84">
        <v>0</v>
      </c>
    </row>
    <row r="12" spans="1:33" x14ac:dyDescent="0.3">
      <c r="A12" s="85" t="s">
        <v>264</v>
      </c>
      <c r="B12" s="58" t="s">
        <v>249</v>
      </c>
      <c r="C12" s="58" t="s">
        <v>245</v>
      </c>
      <c r="D12" s="72" t="s">
        <v>250</v>
      </c>
      <c r="E12" s="157">
        <v>20.72</v>
      </c>
      <c r="F12" s="128">
        <v>20.309999999999999</v>
      </c>
      <c r="G12" s="128">
        <v>20.16</v>
      </c>
      <c r="H12" s="128">
        <v>20.54</v>
      </c>
      <c r="I12" s="128">
        <v>20.05</v>
      </c>
      <c r="J12" s="128">
        <v>20.68</v>
      </c>
      <c r="K12" s="128">
        <v>20.56</v>
      </c>
      <c r="L12" s="158">
        <v>21.31</v>
      </c>
      <c r="M12" s="70">
        <v>1</v>
      </c>
      <c r="N12" s="58">
        <v>1</v>
      </c>
      <c r="O12" s="58">
        <v>1</v>
      </c>
      <c r="P12" s="58">
        <v>1</v>
      </c>
      <c r="Q12" s="58">
        <v>1</v>
      </c>
      <c r="R12" s="58">
        <v>1</v>
      </c>
      <c r="S12" s="72">
        <v>1</v>
      </c>
      <c r="T12" s="165">
        <v>0</v>
      </c>
      <c r="U12" s="116">
        <v>0</v>
      </c>
      <c r="V12" s="116">
        <v>0</v>
      </c>
      <c r="W12" s="116">
        <v>0</v>
      </c>
      <c r="X12" s="116">
        <v>0</v>
      </c>
      <c r="Y12" s="116">
        <v>0</v>
      </c>
      <c r="Z12" s="166">
        <v>0</v>
      </c>
      <c r="AA12" s="70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84">
        <v>0</v>
      </c>
    </row>
    <row r="13" spans="1:33" s="148" customFormat="1" x14ac:dyDescent="0.3">
      <c r="A13" s="144" t="s">
        <v>325</v>
      </c>
      <c r="B13" s="145" t="s">
        <v>249</v>
      </c>
      <c r="C13" s="145" t="s">
        <v>245</v>
      </c>
      <c r="D13" s="150" t="s">
        <v>250</v>
      </c>
      <c r="E13" s="159">
        <v>19.399999999999999</v>
      </c>
      <c r="F13" s="147">
        <v>19.899999999999999</v>
      </c>
      <c r="G13" s="147">
        <v>20.010000000000002</v>
      </c>
      <c r="H13" s="147">
        <v>20.7</v>
      </c>
      <c r="I13" s="147"/>
      <c r="J13" s="147"/>
      <c r="K13" s="147"/>
      <c r="L13" s="160"/>
      <c r="M13" s="152">
        <v>1</v>
      </c>
      <c r="N13" s="146">
        <v>1</v>
      </c>
      <c r="O13" s="146">
        <v>1</v>
      </c>
      <c r="P13" s="146">
        <v>1</v>
      </c>
      <c r="Q13" s="146"/>
      <c r="R13" s="146"/>
      <c r="S13" s="150"/>
      <c r="T13" s="167">
        <v>0</v>
      </c>
      <c r="U13" s="146">
        <v>0</v>
      </c>
      <c r="V13" s="146">
        <v>0</v>
      </c>
      <c r="W13" s="146">
        <v>0</v>
      </c>
      <c r="X13" s="146"/>
      <c r="Y13" s="146"/>
      <c r="Z13" s="168"/>
      <c r="AA13" s="152"/>
      <c r="AB13" s="146"/>
      <c r="AC13" s="146"/>
      <c r="AD13" s="146"/>
      <c r="AE13" s="146"/>
      <c r="AF13" s="146"/>
      <c r="AG13" s="149"/>
    </row>
    <row r="14" spans="1:33" x14ac:dyDescent="0.3">
      <c r="A14" s="85" t="s">
        <v>270</v>
      </c>
      <c r="B14" s="58" t="s">
        <v>249</v>
      </c>
      <c r="C14" s="58" t="s">
        <v>245</v>
      </c>
      <c r="D14" s="72" t="s">
        <v>250</v>
      </c>
      <c r="E14" s="157">
        <v>20.350000000000001</v>
      </c>
      <c r="F14" s="128">
        <v>20.38</v>
      </c>
      <c r="G14" s="128">
        <v>21.25</v>
      </c>
      <c r="H14" s="128">
        <v>20.96</v>
      </c>
      <c r="I14" s="128">
        <v>21.41</v>
      </c>
      <c r="J14" s="128">
        <v>22</v>
      </c>
      <c r="K14" s="128">
        <v>21.16</v>
      </c>
      <c r="L14" s="158">
        <v>21.09</v>
      </c>
      <c r="M14" s="70">
        <v>1</v>
      </c>
      <c r="N14" s="58">
        <v>1</v>
      </c>
      <c r="O14" s="58">
        <v>1</v>
      </c>
      <c r="P14" s="58">
        <v>1</v>
      </c>
      <c r="Q14" s="58">
        <v>1</v>
      </c>
      <c r="R14" s="58">
        <v>1</v>
      </c>
      <c r="S14" s="72">
        <v>1</v>
      </c>
      <c r="T14" s="165">
        <v>0</v>
      </c>
      <c r="U14" s="116">
        <v>0</v>
      </c>
      <c r="V14" s="116">
        <v>0</v>
      </c>
      <c r="W14" s="116">
        <v>0</v>
      </c>
      <c r="X14" s="116">
        <v>0</v>
      </c>
      <c r="Y14" s="116">
        <v>0</v>
      </c>
      <c r="Z14" s="166">
        <v>0</v>
      </c>
      <c r="AA14" s="70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84">
        <v>0</v>
      </c>
    </row>
    <row r="15" spans="1:33" x14ac:dyDescent="0.3">
      <c r="A15" s="85" t="s">
        <v>272</v>
      </c>
      <c r="B15" s="58" t="s">
        <v>249</v>
      </c>
      <c r="C15" s="58" t="s">
        <v>245</v>
      </c>
      <c r="D15" s="72" t="s">
        <v>250</v>
      </c>
      <c r="E15" s="157">
        <v>19.579999999999998</v>
      </c>
      <c r="F15" s="128">
        <v>20.079999999999998</v>
      </c>
      <c r="G15" s="128">
        <v>20.010000000000002</v>
      </c>
      <c r="H15" s="128">
        <v>20.059999999999999</v>
      </c>
      <c r="I15" s="128">
        <v>20.57</v>
      </c>
      <c r="J15" s="128">
        <v>21.02</v>
      </c>
      <c r="K15" s="128">
        <v>21.11</v>
      </c>
      <c r="L15" s="158">
        <v>20.68</v>
      </c>
      <c r="M15" s="70">
        <v>1</v>
      </c>
      <c r="N15" s="58">
        <v>1</v>
      </c>
      <c r="O15" s="58">
        <v>1</v>
      </c>
      <c r="P15" s="58">
        <v>0</v>
      </c>
      <c r="Q15" s="58">
        <v>1</v>
      </c>
      <c r="R15" s="58">
        <v>1</v>
      </c>
      <c r="S15" s="72">
        <v>1</v>
      </c>
      <c r="T15" s="165">
        <v>0</v>
      </c>
      <c r="U15" s="116">
        <v>0</v>
      </c>
      <c r="V15" s="116">
        <v>0</v>
      </c>
      <c r="W15" s="116">
        <v>0</v>
      </c>
      <c r="X15" s="116">
        <v>0</v>
      </c>
      <c r="Y15" s="116">
        <v>0</v>
      </c>
      <c r="Z15" s="166">
        <v>0</v>
      </c>
      <c r="AA15" s="70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84">
        <v>0</v>
      </c>
    </row>
    <row r="16" spans="1:33" x14ac:dyDescent="0.3">
      <c r="A16" s="85" t="s">
        <v>273</v>
      </c>
      <c r="B16" s="58" t="s">
        <v>249</v>
      </c>
      <c r="C16" s="58" t="s">
        <v>245</v>
      </c>
      <c r="D16" s="72" t="s">
        <v>250</v>
      </c>
      <c r="E16" s="157">
        <v>19.55</v>
      </c>
      <c r="F16" s="128">
        <v>19.329999999999998</v>
      </c>
      <c r="G16" s="128">
        <v>19.87</v>
      </c>
      <c r="H16" s="128">
        <v>20.100000000000001</v>
      </c>
      <c r="I16" s="128">
        <v>20.39</v>
      </c>
      <c r="J16" s="128">
        <v>20.97</v>
      </c>
      <c r="K16" s="128">
        <v>21.02</v>
      </c>
      <c r="L16" s="158">
        <v>20.32</v>
      </c>
      <c r="M16" s="70">
        <v>1</v>
      </c>
      <c r="N16" s="58">
        <v>1</v>
      </c>
      <c r="O16" s="58">
        <v>1</v>
      </c>
      <c r="P16" s="58">
        <v>1</v>
      </c>
      <c r="Q16" s="58">
        <v>1</v>
      </c>
      <c r="R16" s="58">
        <v>1</v>
      </c>
      <c r="S16" s="72">
        <v>1</v>
      </c>
      <c r="T16" s="165">
        <v>0</v>
      </c>
      <c r="U16" s="116">
        <v>0</v>
      </c>
      <c r="V16" s="116">
        <v>0</v>
      </c>
      <c r="W16" s="116">
        <v>0</v>
      </c>
      <c r="X16" s="116">
        <v>0</v>
      </c>
      <c r="Y16" s="116">
        <v>0</v>
      </c>
      <c r="Z16" s="166">
        <v>0</v>
      </c>
      <c r="AA16" s="70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84">
        <v>0</v>
      </c>
    </row>
    <row r="17" spans="1:33" x14ac:dyDescent="0.3">
      <c r="A17" s="85" t="s">
        <v>278</v>
      </c>
      <c r="B17" s="58" t="s">
        <v>249</v>
      </c>
      <c r="C17" s="58" t="s">
        <v>245</v>
      </c>
      <c r="D17" s="72" t="s">
        <v>250</v>
      </c>
      <c r="E17" s="157">
        <v>19.46</v>
      </c>
      <c r="F17" s="128">
        <v>19.170000000000002</v>
      </c>
      <c r="G17" s="128">
        <v>19.18</v>
      </c>
      <c r="H17" s="128">
        <v>19.190000000000001</v>
      </c>
      <c r="I17" s="128">
        <v>19.690000000000001</v>
      </c>
      <c r="J17" s="128">
        <v>19.34</v>
      </c>
      <c r="K17" s="128">
        <v>19.62</v>
      </c>
      <c r="L17" s="158">
        <v>19.71</v>
      </c>
      <c r="M17" s="70">
        <v>0</v>
      </c>
      <c r="N17" s="58">
        <v>0</v>
      </c>
      <c r="O17" s="58">
        <v>0</v>
      </c>
      <c r="P17" s="58">
        <v>0</v>
      </c>
      <c r="Q17" s="58">
        <v>1</v>
      </c>
      <c r="R17" s="58">
        <v>0</v>
      </c>
      <c r="S17" s="72">
        <v>0</v>
      </c>
      <c r="T17" s="165">
        <v>0</v>
      </c>
      <c r="U17" s="116">
        <v>0</v>
      </c>
      <c r="V17" s="116">
        <v>0</v>
      </c>
      <c r="W17" s="116">
        <v>0</v>
      </c>
      <c r="X17" s="116">
        <v>0</v>
      </c>
      <c r="Y17" s="116">
        <v>0</v>
      </c>
      <c r="Z17" s="166">
        <v>0</v>
      </c>
      <c r="AA17" s="70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84">
        <v>0</v>
      </c>
    </row>
    <row r="18" spans="1:33" x14ac:dyDescent="0.3">
      <c r="A18" s="85" t="s">
        <v>253</v>
      </c>
      <c r="B18" s="58" t="s">
        <v>249</v>
      </c>
      <c r="C18" s="58" t="s">
        <v>242</v>
      </c>
      <c r="D18" s="72" t="s">
        <v>91</v>
      </c>
      <c r="E18" s="157">
        <v>25.37</v>
      </c>
      <c r="F18" s="128">
        <v>23.35</v>
      </c>
      <c r="G18" s="128">
        <v>24.27</v>
      </c>
      <c r="H18" s="128">
        <v>24.26</v>
      </c>
      <c r="I18" s="128">
        <v>24.26</v>
      </c>
      <c r="J18" s="128">
        <v>24.02</v>
      </c>
      <c r="K18" s="128">
        <v>23.71</v>
      </c>
      <c r="L18" s="158">
        <v>25</v>
      </c>
      <c r="M18" s="70">
        <v>2</v>
      </c>
      <c r="N18" s="58">
        <v>1</v>
      </c>
      <c r="O18" s="58">
        <v>1</v>
      </c>
      <c r="P18" s="58">
        <v>1</v>
      </c>
      <c r="Q18" s="58">
        <v>1</v>
      </c>
      <c r="R18" s="58">
        <v>1</v>
      </c>
      <c r="S18" s="72">
        <v>1</v>
      </c>
      <c r="T18" s="165">
        <v>0</v>
      </c>
      <c r="U18" s="116">
        <v>0</v>
      </c>
      <c r="V18" s="116">
        <v>0</v>
      </c>
      <c r="W18" s="116">
        <v>0</v>
      </c>
      <c r="X18" s="116">
        <v>0</v>
      </c>
      <c r="Y18" s="116">
        <v>0</v>
      </c>
      <c r="Z18" s="166">
        <v>0</v>
      </c>
      <c r="AA18" s="70">
        <v>1</v>
      </c>
      <c r="AB18" s="58">
        <v>1</v>
      </c>
      <c r="AC18" s="58">
        <v>1</v>
      </c>
      <c r="AD18" s="58">
        <v>1</v>
      </c>
      <c r="AE18" s="58">
        <v>1</v>
      </c>
      <c r="AF18" s="58">
        <v>1</v>
      </c>
      <c r="AG18" s="84">
        <v>1</v>
      </c>
    </row>
    <row r="19" spans="1:33" x14ac:dyDescent="0.3">
      <c r="A19" s="85" t="s">
        <v>254</v>
      </c>
      <c r="B19" s="58" t="s">
        <v>249</v>
      </c>
      <c r="C19" s="58" t="s">
        <v>242</v>
      </c>
      <c r="D19" s="72" t="s">
        <v>91</v>
      </c>
      <c r="E19" s="157">
        <v>27.11</v>
      </c>
      <c r="F19" s="128">
        <v>25.52</v>
      </c>
      <c r="G19" s="128">
        <v>25.83</v>
      </c>
      <c r="H19" s="128">
        <v>26.25</v>
      </c>
      <c r="I19" s="128">
        <v>26.5</v>
      </c>
      <c r="J19" s="128">
        <v>26.62</v>
      </c>
      <c r="K19" s="128">
        <v>26.7</v>
      </c>
      <c r="L19" s="158">
        <v>27.04</v>
      </c>
      <c r="M19" s="70">
        <v>2</v>
      </c>
      <c r="N19" s="58">
        <v>1</v>
      </c>
      <c r="O19" s="58">
        <v>1</v>
      </c>
      <c r="P19" s="58">
        <v>1</v>
      </c>
      <c r="Q19" s="58">
        <v>1</v>
      </c>
      <c r="R19" s="58">
        <v>1</v>
      </c>
      <c r="S19" s="72">
        <v>1</v>
      </c>
      <c r="T19" s="165">
        <v>0</v>
      </c>
      <c r="U19" s="116">
        <v>0</v>
      </c>
      <c r="V19" s="116">
        <v>0</v>
      </c>
      <c r="W19" s="116">
        <v>0</v>
      </c>
      <c r="X19" s="116">
        <v>0</v>
      </c>
      <c r="Y19" s="116">
        <v>0</v>
      </c>
      <c r="Z19" s="166">
        <v>0</v>
      </c>
      <c r="AA19" s="70">
        <v>1</v>
      </c>
      <c r="AB19" s="58">
        <v>1</v>
      </c>
      <c r="AC19" s="58">
        <v>1</v>
      </c>
      <c r="AD19" s="58">
        <v>1</v>
      </c>
      <c r="AE19" s="58">
        <v>1</v>
      </c>
      <c r="AF19" s="58">
        <v>1</v>
      </c>
      <c r="AG19" s="84">
        <v>1</v>
      </c>
    </row>
    <row r="20" spans="1:33" x14ac:dyDescent="0.3">
      <c r="A20" s="85" t="s">
        <v>255</v>
      </c>
      <c r="B20" s="58" t="s">
        <v>249</v>
      </c>
      <c r="C20" s="58" t="s">
        <v>242</v>
      </c>
      <c r="D20" s="72" t="s">
        <v>91</v>
      </c>
      <c r="E20" s="157">
        <v>25.11</v>
      </c>
      <c r="F20" s="128">
        <v>23.21</v>
      </c>
      <c r="G20" s="128">
        <v>23.22</v>
      </c>
      <c r="H20" s="128">
        <v>23.41</v>
      </c>
      <c r="I20" s="128">
        <v>23.59</v>
      </c>
      <c r="J20" s="128">
        <v>23.62</v>
      </c>
      <c r="K20" s="128">
        <v>23.95</v>
      </c>
      <c r="L20" s="158">
        <v>24.46</v>
      </c>
      <c r="M20" s="70">
        <v>1</v>
      </c>
      <c r="N20" s="58">
        <v>1</v>
      </c>
      <c r="O20" s="58">
        <v>1</v>
      </c>
      <c r="P20" s="58">
        <v>1</v>
      </c>
      <c r="Q20" s="58">
        <v>1</v>
      </c>
      <c r="R20" s="58">
        <v>1</v>
      </c>
      <c r="S20" s="72">
        <v>1</v>
      </c>
      <c r="T20" s="165">
        <v>0</v>
      </c>
      <c r="U20" s="116">
        <v>0</v>
      </c>
      <c r="V20" s="116">
        <v>0</v>
      </c>
      <c r="W20" s="116">
        <v>0</v>
      </c>
      <c r="X20" s="116">
        <v>0</v>
      </c>
      <c r="Y20" s="116">
        <v>0</v>
      </c>
      <c r="Z20" s="166">
        <v>0</v>
      </c>
      <c r="AA20" s="70">
        <v>1</v>
      </c>
      <c r="AB20" s="58">
        <v>1</v>
      </c>
      <c r="AC20" s="58">
        <v>1</v>
      </c>
      <c r="AD20" s="58">
        <v>1</v>
      </c>
      <c r="AE20" s="58">
        <v>1</v>
      </c>
      <c r="AF20" s="58">
        <v>1</v>
      </c>
      <c r="AG20" s="84">
        <v>1</v>
      </c>
    </row>
    <row r="21" spans="1:33" x14ac:dyDescent="0.3">
      <c r="A21" s="85" t="s">
        <v>256</v>
      </c>
      <c r="B21" s="58" t="s">
        <v>249</v>
      </c>
      <c r="C21" s="58" t="s">
        <v>242</v>
      </c>
      <c r="D21" s="72" t="s">
        <v>91</v>
      </c>
      <c r="E21" s="157">
        <v>22.62</v>
      </c>
      <c r="F21" s="128">
        <v>22.37</v>
      </c>
      <c r="G21" s="128">
        <v>22.97</v>
      </c>
      <c r="H21" s="128">
        <v>23.03</v>
      </c>
      <c r="I21" s="128">
        <v>23.28</v>
      </c>
      <c r="J21" s="128">
        <v>23.82</v>
      </c>
      <c r="K21" s="128">
        <v>23.38</v>
      </c>
      <c r="L21" s="158">
        <v>23.98</v>
      </c>
      <c r="M21" s="70">
        <v>1</v>
      </c>
      <c r="N21" s="58">
        <v>1</v>
      </c>
      <c r="O21" s="58">
        <v>1</v>
      </c>
      <c r="P21" s="58">
        <v>1</v>
      </c>
      <c r="Q21" s="58">
        <v>1</v>
      </c>
      <c r="R21" s="58">
        <v>1</v>
      </c>
      <c r="S21" s="72">
        <v>1</v>
      </c>
      <c r="T21" s="165">
        <v>0</v>
      </c>
      <c r="U21" s="116">
        <v>0</v>
      </c>
      <c r="V21" s="116">
        <v>0</v>
      </c>
      <c r="W21" s="116">
        <v>0</v>
      </c>
      <c r="X21" s="116">
        <v>0</v>
      </c>
      <c r="Y21" s="116">
        <v>0</v>
      </c>
      <c r="Z21" s="166">
        <v>0</v>
      </c>
      <c r="AA21" s="70">
        <v>1</v>
      </c>
      <c r="AB21" s="58">
        <v>1</v>
      </c>
      <c r="AC21" s="58">
        <v>1</v>
      </c>
      <c r="AD21" s="58">
        <v>1</v>
      </c>
      <c r="AE21" s="58">
        <v>1</v>
      </c>
      <c r="AF21" s="58">
        <v>1</v>
      </c>
      <c r="AG21" s="84">
        <v>1</v>
      </c>
    </row>
    <row r="22" spans="1:33" x14ac:dyDescent="0.3">
      <c r="A22" s="85" t="s">
        <v>257</v>
      </c>
      <c r="B22" s="58" t="s">
        <v>249</v>
      </c>
      <c r="C22" s="58" t="s">
        <v>242</v>
      </c>
      <c r="D22" s="72" t="s">
        <v>91</v>
      </c>
      <c r="E22" s="157">
        <v>25.69</v>
      </c>
      <c r="F22" s="128">
        <v>25.59</v>
      </c>
      <c r="G22" s="128">
        <v>25.74</v>
      </c>
      <c r="H22" s="128">
        <v>24.74</v>
      </c>
      <c r="I22" s="128">
        <v>25.15</v>
      </c>
      <c r="J22" s="128">
        <v>25.91</v>
      </c>
      <c r="K22" s="128">
        <v>25.68</v>
      </c>
      <c r="L22" s="158">
        <v>25.49</v>
      </c>
      <c r="M22" s="70">
        <v>1</v>
      </c>
      <c r="N22" s="58">
        <v>1</v>
      </c>
      <c r="O22" s="58">
        <v>1</v>
      </c>
      <c r="P22" s="58">
        <v>1</v>
      </c>
      <c r="Q22" s="58">
        <v>1</v>
      </c>
      <c r="R22" s="58">
        <v>1</v>
      </c>
      <c r="S22" s="72">
        <v>1</v>
      </c>
      <c r="T22" s="165">
        <v>0</v>
      </c>
      <c r="U22" s="116">
        <v>0</v>
      </c>
      <c r="V22" s="116">
        <v>0</v>
      </c>
      <c r="W22" s="116">
        <v>0</v>
      </c>
      <c r="X22" s="116">
        <v>0</v>
      </c>
      <c r="Y22" s="116">
        <v>0</v>
      </c>
      <c r="Z22" s="166">
        <v>0</v>
      </c>
      <c r="AA22" s="70">
        <v>1</v>
      </c>
      <c r="AB22" s="58">
        <v>1</v>
      </c>
      <c r="AC22" s="58">
        <v>1</v>
      </c>
      <c r="AD22" s="58">
        <v>1</v>
      </c>
      <c r="AE22" s="58">
        <v>1</v>
      </c>
      <c r="AF22" s="58">
        <v>1</v>
      </c>
      <c r="AG22" s="84">
        <v>1</v>
      </c>
    </row>
    <row r="23" spans="1:33" x14ac:dyDescent="0.3">
      <c r="A23" s="85" t="s">
        <v>258</v>
      </c>
      <c r="B23" s="58" t="s">
        <v>249</v>
      </c>
      <c r="C23" s="58" t="s">
        <v>242</v>
      </c>
      <c r="D23" s="72" t="s">
        <v>91</v>
      </c>
      <c r="E23" s="157">
        <v>23.53</v>
      </c>
      <c r="F23" s="128">
        <v>23.76</v>
      </c>
      <c r="G23" s="128">
        <v>24.02</v>
      </c>
      <c r="H23" s="128">
        <v>23.89</v>
      </c>
      <c r="I23" s="128">
        <v>23.81</v>
      </c>
      <c r="J23" s="128">
        <v>24.41</v>
      </c>
      <c r="K23" s="128">
        <v>24.12</v>
      </c>
      <c r="L23" s="158">
        <v>24.84</v>
      </c>
      <c r="M23" s="70">
        <v>1</v>
      </c>
      <c r="N23" s="58">
        <v>1</v>
      </c>
      <c r="O23" s="58">
        <v>1</v>
      </c>
      <c r="P23" s="58">
        <v>1</v>
      </c>
      <c r="Q23" s="58">
        <v>1</v>
      </c>
      <c r="R23" s="58">
        <v>1</v>
      </c>
      <c r="S23" s="72">
        <v>1</v>
      </c>
      <c r="T23" s="165">
        <v>0</v>
      </c>
      <c r="U23" s="116">
        <v>0</v>
      </c>
      <c r="V23" s="116">
        <v>0</v>
      </c>
      <c r="W23" s="116">
        <v>0</v>
      </c>
      <c r="X23" s="116">
        <v>0</v>
      </c>
      <c r="Y23" s="116">
        <v>0</v>
      </c>
      <c r="Z23" s="166">
        <v>0</v>
      </c>
      <c r="AA23" s="70">
        <v>1</v>
      </c>
      <c r="AB23" s="58">
        <v>1</v>
      </c>
      <c r="AC23" s="58">
        <v>1</v>
      </c>
      <c r="AD23" s="58">
        <v>1</v>
      </c>
      <c r="AE23" s="58">
        <v>1</v>
      </c>
      <c r="AF23" s="58">
        <v>1</v>
      </c>
      <c r="AG23" s="84">
        <v>1</v>
      </c>
    </row>
    <row r="24" spans="1:33" x14ac:dyDescent="0.3">
      <c r="A24" s="85" t="s">
        <v>265</v>
      </c>
      <c r="B24" s="58" t="s">
        <v>249</v>
      </c>
      <c r="C24" s="58" t="s">
        <v>242</v>
      </c>
      <c r="D24" s="72" t="s">
        <v>91</v>
      </c>
      <c r="E24" s="157">
        <v>26.27</v>
      </c>
      <c r="F24" s="128">
        <v>25.16</v>
      </c>
      <c r="G24" s="128">
        <v>25.66</v>
      </c>
      <c r="H24" s="128">
        <v>25.82</v>
      </c>
      <c r="I24" s="128">
        <v>25.5</v>
      </c>
      <c r="J24" s="128">
        <v>25.58</v>
      </c>
      <c r="K24" s="128">
        <v>25.95</v>
      </c>
      <c r="L24" s="158">
        <v>26.36</v>
      </c>
      <c r="M24" s="70">
        <v>2</v>
      </c>
      <c r="N24" s="58">
        <v>1</v>
      </c>
      <c r="O24" s="58">
        <v>2</v>
      </c>
      <c r="P24" s="58">
        <v>2</v>
      </c>
      <c r="Q24" s="58">
        <v>1</v>
      </c>
      <c r="R24" s="58">
        <v>1</v>
      </c>
      <c r="S24" s="72">
        <v>1</v>
      </c>
      <c r="T24" s="165">
        <v>0</v>
      </c>
      <c r="U24" s="116">
        <v>0</v>
      </c>
      <c r="V24" s="116">
        <v>0</v>
      </c>
      <c r="W24" s="116">
        <v>0</v>
      </c>
      <c r="X24" s="116">
        <v>1</v>
      </c>
      <c r="Y24" s="116">
        <v>0</v>
      </c>
      <c r="Z24" s="166">
        <v>0</v>
      </c>
      <c r="AA24" s="70">
        <v>1</v>
      </c>
      <c r="AB24" s="58">
        <v>1</v>
      </c>
      <c r="AC24" s="58">
        <v>1</v>
      </c>
      <c r="AD24" s="58">
        <v>1</v>
      </c>
      <c r="AE24" s="58">
        <v>1</v>
      </c>
      <c r="AF24" s="58">
        <v>1</v>
      </c>
      <c r="AG24" s="84">
        <v>1</v>
      </c>
    </row>
    <row r="25" spans="1:33" x14ac:dyDescent="0.3">
      <c r="A25" s="85" t="s">
        <v>279</v>
      </c>
      <c r="B25" s="58" t="s">
        <v>249</v>
      </c>
      <c r="C25" s="58" t="s">
        <v>242</v>
      </c>
      <c r="D25" s="72" t="s">
        <v>250</v>
      </c>
      <c r="E25" s="157">
        <v>26.14</v>
      </c>
      <c r="F25" s="128">
        <v>23.78</v>
      </c>
      <c r="G25" s="128">
        <v>25.07</v>
      </c>
      <c r="H25" s="128">
        <v>25.29</v>
      </c>
      <c r="I25" s="128">
        <v>25.51</v>
      </c>
      <c r="J25" s="128">
        <v>25.49</v>
      </c>
      <c r="K25" s="128">
        <v>26.17</v>
      </c>
      <c r="L25" s="158">
        <v>26.36</v>
      </c>
      <c r="M25" s="70">
        <v>1</v>
      </c>
      <c r="N25" s="58">
        <v>1</v>
      </c>
      <c r="O25" s="58">
        <v>1</v>
      </c>
      <c r="P25" s="58">
        <v>1</v>
      </c>
      <c r="Q25" s="58">
        <v>1</v>
      </c>
      <c r="R25" s="58">
        <v>1</v>
      </c>
      <c r="S25" s="72">
        <v>1</v>
      </c>
      <c r="T25" s="165">
        <v>0</v>
      </c>
      <c r="U25" s="116">
        <v>0</v>
      </c>
      <c r="V25" s="116">
        <v>0</v>
      </c>
      <c r="W25" s="116">
        <v>0</v>
      </c>
      <c r="X25" s="116">
        <v>0</v>
      </c>
      <c r="Y25" s="116">
        <v>0</v>
      </c>
      <c r="Z25" s="166">
        <v>0</v>
      </c>
      <c r="AA25" s="70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84">
        <v>0</v>
      </c>
    </row>
    <row r="26" spans="1:33" x14ac:dyDescent="0.3">
      <c r="A26" s="85" t="s">
        <v>280</v>
      </c>
      <c r="B26" s="58" t="s">
        <v>249</v>
      </c>
      <c r="C26" s="58" t="s">
        <v>242</v>
      </c>
      <c r="D26" s="72" t="s">
        <v>250</v>
      </c>
      <c r="E26" s="157">
        <v>28.37</v>
      </c>
      <c r="F26" s="128">
        <v>29.4</v>
      </c>
      <c r="G26" s="128">
        <v>29.08</v>
      </c>
      <c r="H26" s="128">
        <v>29.05</v>
      </c>
      <c r="I26" s="128">
        <v>28.81</v>
      </c>
      <c r="J26" s="128">
        <v>29.36</v>
      </c>
      <c r="K26" s="128">
        <v>29.06</v>
      </c>
      <c r="L26" s="158">
        <v>29.17</v>
      </c>
      <c r="M26" s="70">
        <v>1</v>
      </c>
      <c r="N26" s="58">
        <v>1</v>
      </c>
      <c r="O26" s="58">
        <v>1</v>
      </c>
      <c r="P26" s="58">
        <v>1</v>
      </c>
      <c r="Q26" s="58">
        <v>1</v>
      </c>
      <c r="R26" s="58">
        <v>1</v>
      </c>
      <c r="S26" s="72">
        <v>1</v>
      </c>
      <c r="T26" s="165">
        <v>0</v>
      </c>
      <c r="U26" s="116">
        <v>0</v>
      </c>
      <c r="V26" s="116">
        <v>0</v>
      </c>
      <c r="W26" s="116">
        <v>0</v>
      </c>
      <c r="X26" s="116">
        <v>0</v>
      </c>
      <c r="Y26" s="116">
        <v>0</v>
      </c>
      <c r="Z26" s="166">
        <v>0</v>
      </c>
      <c r="AA26" s="70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84">
        <v>0</v>
      </c>
    </row>
    <row r="27" spans="1:33" x14ac:dyDescent="0.3">
      <c r="A27" s="85" t="s">
        <v>326</v>
      </c>
      <c r="B27" s="58" t="s">
        <v>251</v>
      </c>
      <c r="C27" s="58" t="s">
        <v>242</v>
      </c>
      <c r="D27" s="72" t="s">
        <v>91</v>
      </c>
      <c r="E27" s="157">
        <v>37.39</v>
      </c>
      <c r="F27" s="128">
        <v>35.04</v>
      </c>
      <c r="G27" s="128">
        <v>35.979999999999997</v>
      </c>
      <c r="H27" s="128">
        <v>35.46</v>
      </c>
      <c r="I27" s="128">
        <v>35.43</v>
      </c>
      <c r="J27" s="128">
        <v>35.130000000000003</v>
      </c>
      <c r="K27" s="128">
        <v>35.19</v>
      </c>
      <c r="L27" s="158">
        <v>34.96</v>
      </c>
      <c r="M27" s="70">
        <v>2</v>
      </c>
      <c r="N27" s="58">
        <v>1</v>
      </c>
      <c r="O27" s="58">
        <v>1</v>
      </c>
      <c r="P27" s="58">
        <v>1</v>
      </c>
      <c r="Q27" s="58">
        <v>0</v>
      </c>
      <c r="R27" s="58">
        <v>1</v>
      </c>
      <c r="S27" s="72">
        <v>1</v>
      </c>
      <c r="T27" s="165">
        <v>1</v>
      </c>
      <c r="U27" s="116">
        <v>1</v>
      </c>
      <c r="V27" s="116">
        <v>1</v>
      </c>
      <c r="W27" s="116">
        <v>0</v>
      </c>
      <c r="X27" s="116">
        <v>0</v>
      </c>
      <c r="Y27" s="116">
        <v>0</v>
      </c>
      <c r="Z27" s="166">
        <v>0</v>
      </c>
      <c r="AA27" s="70">
        <v>1</v>
      </c>
      <c r="AB27" s="58">
        <v>1</v>
      </c>
      <c r="AC27" s="58">
        <v>1</v>
      </c>
      <c r="AD27" s="58">
        <v>1</v>
      </c>
      <c r="AE27" s="58">
        <v>1</v>
      </c>
      <c r="AF27" s="58">
        <v>1</v>
      </c>
      <c r="AG27" s="84">
        <v>1</v>
      </c>
    </row>
    <row r="28" spans="1:33" x14ac:dyDescent="0.3">
      <c r="A28" s="85" t="s">
        <v>327</v>
      </c>
      <c r="B28" s="58" t="s">
        <v>251</v>
      </c>
      <c r="C28" s="58" t="s">
        <v>242</v>
      </c>
      <c r="D28" s="72" t="s">
        <v>91</v>
      </c>
      <c r="E28" s="157">
        <v>36.97</v>
      </c>
      <c r="F28" s="128">
        <v>34.29</v>
      </c>
      <c r="G28" s="128">
        <v>34.479999999999997</v>
      </c>
      <c r="H28" s="128">
        <v>34.590000000000003</v>
      </c>
      <c r="I28" s="128">
        <v>34.53</v>
      </c>
      <c r="J28" s="128">
        <v>34.159999999999997</v>
      </c>
      <c r="K28" s="128">
        <v>34.96</v>
      </c>
      <c r="L28" s="158">
        <v>34.5</v>
      </c>
      <c r="M28" s="70">
        <v>2</v>
      </c>
      <c r="N28" s="58">
        <v>1</v>
      </c>
      <c r="O28" s="58">
        <v>1</v>
      </c>
      <c r="P28" s="58">
        <v>1</v>
      </c>
      <c r="Q28" s="58">
        <v>1</v>
      </c>
      <c r="R28" s="58">
        <v>1</v>
      </c>
      <c r="S28" s="72">
        <v>1</v>
      </c>
      <c r="T28" s="165">
        <v>0</v>
      </c>
      <c r="U28" s="116">
        <v>0</v>
      </c>
      <c r="V28" s="116">
        <v>0</v>
      </c>
      <c r="W28" s="116">
        <v>0</v>
      </c>
      <c r="X28" s="116">
        <v>0</v>
      </c>
      <c r="Y28" s="116">
        <v>0</v>
      </c>
      <c r="Z28" s="166">
        <v>0</v>
      </c>
      <c r="AA28" s="70">
        <v>1</v>
      </c>
      <c r="AB28" s="58">
        <v>1</v>
      </c>
      <c r="AC28" s="58">
        <v>1</v>
      </c>
      <c r="AD28" s="58">
        <v>1</v>
      </c>
      <c r="AE28" s="58">
        <v>1</v>
      </c>
      <c r="AF28" s="58">
        <v>1</v>
      </c>
      <c r="AG28" s="84">
        <v>1</v>
      </c>
    </row>
    <row r="29" spans="1:33" x14ac:dyDescent="0.3">
      <c r="A29" s="85" t="s">
        <v>330</v>
      </c>
      <c r="B29" s="58" t="s">
        <v>251</v>
      </c>
      <c r="C29" s="58" t="s">
        <v>242</v>
      </c>
      <c r="D29" s="72" t="s">
        <v>91</v>
      </c>
      <c r="E29" s="157">
        <v>44.31</v>
      </c>
      <c r="F29" s="128">
        <v>43.21</v>
      </c>
      <c r="G29" s="128">
        <v>42.78</v>
      </c>
      <c r="H29" s="128">
        <v>42.43</v>
      </c>
      <c r="I29" s="128">
        <v>42.52</v>
      </c>
      <c r="J29" s="128">
        <v>41.53</v>
      </c>
      <c r="K29" s="128">
        <v>43.21</v>
      </c>
      <c r="L29" s="158">
        <v>42.57</v>
      </c>
      <c r="M29" s="70">
        <v>2</v>
      </c>
      <c r="N29" s="58">
        <v>1</v>
      </c>
      <c r="O29" s="58">
        <v>1</v>
      </c>
      <c r="P29" s="58">
        <v>1</v>
      </c>
      <c r="Q29" s="58">
        <v>1</v>
      </c>
      <c r="R29" s="58">
        <v>1</v>
      </c>
      <c r="S29" s="72">
        <v>1</v>
      </c>
      <c r="T29" s="165">
        <v>0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66">
        <v>0</v>
      </c>
      <c r="AA29" s="70">
        <v>1</v>
      </c>
      <c r="AB29" s="58">
        <v>1</v>
      </c>
      <c r="AC29" s="58">
        <v>1</v>
      </c>
      <c r="AD29" s="58">
        <v>1</v>
      </c>
      <c r="AE29" s="58">
        <v>1</v>
      </c>
      <c r="AF29" s="58">
        <v>1</v>
      </c>
      <c r="AG29" s="84">
        <v>1</v>
      </c>
    </row>
    <row r="30" spans="1:33" x14ac:dyDescent="0.3">
      <c r="A30" s="85" t="s">
        <v>297</v>
      </c>
      <c r="B30" s="58" t="s">
        <v>251</v>
      </c>
      <c r="C30" s="58" t="s">
        <v>242</v>
      </c>
      <c r="D30" s="72" t="s">
        <v>91</v>
      </c>
      <c r="E30" s="157">
        <v>34.19</v>
      </c>
      <c r="F30" s="128">
        <v>33.549999999999997</v>
      </c>
      <c r="G30" s="128">
        <v>33.6</v>
      </c>
      <c r="H30" s="128">
        <v>33.840000000000003</v>
      </c>
      <c r="I30" s="128">
        <v>32.83</v>
      </c>
      <c r="J30" s="128">
        <v>34.590000000000003</v>
      </c>
      <c r="K30" s="128">
        <v>34.54</v>
      </c>
      <c r="L30" s="158">
        <v>34.74</v>
      </c>
      <c r="M30" s="70">
        <v>1</v>
      </c>
      <c r="N30" s="58">
        <v>1</v>
      </c>
      <c r="O30" s="58">
        <v>1</v>
      </c>
      <c r="P30" s="58">
        <v>1</v>
      </c>
      <c r="Q30" s="58">
        <v>1</v>
      </c>
      <c r="R30" s="58">
        <v>1</v>
      </c>
      <c r="S30" s="72">
        <v>1</v>
      </c>
      <c r="T30" s="165">
        <v>1</v>
      </c>
      <c r="U30" s="116">
        <v>1</v>
      </c>
      <c r="V30" s="116">
        <v>1</v>
      </c>
      <c r="W30" s="116">
        <v>1</v>
      </c>
      <c r="X30" s="116">
        <v>0</v>
      </c>
      <c r="Y30" s="116">
        <v>0</v>
      </c>
      <c r="Z30" s="166">
        <v>0</v>
      </c>
      <c r="AA30" s="70">
        <v>1</v>
      </c>
      <c r="AB30" s="58">
        <v>1</v>
      </c>
      <c r="AC30" s="58">
        <v>1</v>
      </c>
      <c r="AD30" s="58">
        <v>1</v>
      </c>
      <c r="AE30" s="58">
        <v>1</v>
      </c>
      <c r="AF30" s="58">
        <v>1</v>
      </c>
      <c r="AG30" s="84">
        <v>1</v>
      </c>
    </row>
    <row r="31" spans="1:33" x14ac:dyDescent="0.3">
      <c r="A31" s="85" t="s">
        <v>298</v>
      </c>
      <c r="B31" s="58" t="s">
        <v>251</v>
      </c>
      <c r="C31" s="58" t="s">
        <v>242</v>
      </c>
      <c r="D31" s="72" t="s">
        <v>91</v>
      </c>
      <c r="E31" s="157">
        <v>36.119999999999997</v>
      </c>
      <c r="F31" s="128">
        <v>34.950000000000003</v>
      </c>
      <c r="G31" s="128">
        <v>34.25</v>
      </c>
      <c r="H31" s="128">
        <v>34.54</v>
      </c>
      <c r="I31" s="128">
        <v>34.590000000000003</v>
      </c>
      <c r="J31" s="128">
        <v>35.909999999999997</v>
      </c>
      <c r="K31" s="128">
        <v>35.19</v>
      </c>
      <c r="L31" s="158">
        <v>35.94</v>
      </c>
      <c r="M31" s="70">
        <v>1</v>
      </c>
      <c r="N31" s="58">
        <v>1</v>
      </c>
      <c r="O31" s="58">
        <v>1</v>
      </c>
      <c r="P31" s="58">
        <v>1</v>
      </c>
      <c r="Q31" s="58">
        <v>1</v>
      </c>
      <c r="R31" s="58">
        <v>1</v>
      </c>
      <c r="S31" s="72">
        <v>1</v>
      </c>
      <c r="T31" s="165">
        <v>1</v>
      </c>
      <c r="U31" s="116">
        <v>1</v>
      </c>
      <c r="V31" s="116">
        <v>0</v>
      </c>
      <c r="W31" s="116">
        <v>0</v>
      </c>
      <c r="X31" s="116">
        <v>0</v>
      </c>
      <c r="Y31" s="116">
        <v>0</v>
      </c>
      <c r="Z31" s="166">
        <v>0</v>
      </c>
      <c r="AA31" s="70">
        <v>1</v>
      </c>
      <c r="AB31" s="58">
        <v>1</v>
      </c>
      <c r="AC31" s="58">
        <v>1</v>
      </c>
      <c r="AD31" s="58">
        <v>1</v>
      </c>
      <c r="AE31" s="58">
        <v>1</v>
      </c>
      <c r="AF31" s="58">
        <v>1</v>
      </c>
      <c r="AG31" s="84">
        <v>1</v>
      </c>
    </row>
    <row r="32" spans="1:33" x14ac:dyDescent="0.3">
      <c r="A32" s="85" t="s">
        <v>299</v>
      </c>
      <c r="B32" s="58" t="s">
        <v>251</v>
      </c>
      <c r="C32" s="58" t="s">
        <v>242</v>
      </c>
      <c r="D32" s="72" t="s">
        <v>91</v>
      </c>
      <c r="E32" s="157">
        <v>35.28</v>
      </c>
      <c r="F32" s="128">
        <v>33.69</v>
      </c>
      <c r="G32" s="128">
        <v>33.99</v>
      </c>
      <c r="H32" s="128">
        <v>33.78</v>
      </c>
      <c r="I32" s="128">
        <v>33.76</v>
      </c>
      <c r="J32" s="128">
        <v>34.130000000000003</v>
      </c>
      <c r="K32" s="128">
        <v>34.369999999999997</v>
      </c>
      <c r="L32" s="158">
        <v>32.409999999999997</v>
      </c>
      <c r="M32" s="70">
        <v>2</v>
      </c>
      <c r="N32" s="58">
        <v>2</v>
      </c>
      <c r="O32" s="58">
        <v>2</v>
      </c>
      <c r="P32" s="58">
        <v>2</v>
      </c>
      <c r="Q32" s="58">
        <v>2</v>
      </c>
      <c r="R32" s="58">
        <v>1</v>
      </c>
      <c r="S32" s="72">
        <v>1</v>
      </c>
      <c r="T32" s="165">
        <v>1</v>
      </c>
      <c r="U32" s="116">
        <v>1</v>
      </c>
      <c r="V32" s="116">
        <v>1</v>
      </c>
      <c r="W32" s="116">
        <v>0</v>
      </c>
      <c r="X32" s="116">
        <v>0</v>
      </c>
      <c r="Y32" s="116">
        <v>0</v>
      </c>
      <c r="Z32" s="166">
        <v>0</v>
      </c>
      <c r="AA32" s="70">
        <v>1</v>
      </c>
      <c r="AB32" s="58">
        <v>1</v>
      </c>
      <c r="AC32" s="58">
        <v>1</v>
      </c>
      <c r="AD32" s="58">
        <v>1</v>
      </c>
      <c r="AE32" s="58">
        <v>1</v>
      </c>
      <c r="AF32" s="58">
        <v>1</v>
      </c>
      <c r="AG32" s="84">
        <v>1</v>
      </c>
    </row>
    <row r="33" spans="1:33" x14ac:dyDescent="0.3">
      <c r="A33" s="85" t="s">
        <v>286</v>
      </c>
      <c r="B33" s="58" t="s">
        <v>251</v>
      </c>
      <c r="C33" s="58" t="s">
        <v>245</v>
      </c>
      <c r="D33" s="72" t="s">
        <v>91</v>
      </c>
      <c r="E33" s="157">
        <v>28.67</v>
      </c>
      <c r="F33" s="128">
        <v>27.21</v>
      </c>
      <c r="G33" s="128">
        <v>26.92</v>
      </c>
      <c r="H33" s="128">
        <v>26.08</v>
      </c>
      <c r="I33" s="128">
        <v>25.81</v>
      </c>
      <c r="J33" s="128">
        <v>26.15</v>
      </c>
      <c r="K33" s="128">
        <v>25.71</v>
      </c>
      <c r="L33" s="158">
        <v>25.47</v>
      </c>
      <c r="M33" s="70">
        <v>1</v>
      </c>
      <c r="N33" s="58">
        <v>1</v>
      </c>
      <c r="O33" s="58">
        <v>1</v>
      </c>
      <c r="P33" s="58">
        <v>1</v>
      </c>
      <c r="Q33" s="58">
        <v>1</v>
      </c>
      <c r="R33" s="58">
        <v>1</v>
      </c>
      <c r="S33" s="72">
        <v>1</v>
      </c>
      <c r="T33" s="165">
        <v>1</v>
      </c>
      <c r="U33" s="116">
        <v>0</v>
      </c>
      <c r="V33" s="116">
        <v>0</v>
      </c>
      <c r="W33" s="116">
        <v>0</v>
      </c>
      <c r="X33" s="116">
        <v>0</v>
      </c>
      <c r="Y33" s="116">
        <v>0</v>
      </c>
      <c r="Z33" s="166">
        <v>0</v>
      </c>
      <c r="AA33" s="70">
        <v>1</v>
      </c>
      <c r="AB33" s="58">
        <v>1</v>
      </c>
      <c r="AC33" s="58">
        <v>1</v>
      </c>
      <c r="AD33" s="58">
        <v>1</v>
      </c>
      <c r="AE33" s="58">
        <v>1</v>
      </c>
      <c r="AF33" s="58">
        <v>1</v>
      </c>
      <c r="AG33" s="84">
        <v>1</v>
      </c>
    </row>
    <row r="34" spans="1:33" x14ac:dyDescent="0.3">
      <c r="A34" s="85" t="s">
        <v>288</v>
      </c>
      <c r="B34" s="58" t="s">
        <v>251</v>
      </c>
      <c r="C34" s="58" t="s">
        <v>245</v>
      </c>
      <c r="D34" s="72" t="s">
        <v>91</v>
      </c>
      <c r="E34" s="157">
        <v>27.38</v>
      </c>
      <c r="F34" s="128">
        <v>24.83</v>
      </c>
      <c r="G34" s="128">
        <v>25.16</v>
      </c>
      <c r="H34" s="128">
        <v>25.3</v>
      </c>
      <c r="I34" s="128">
        <v>25.34</v>
      </c>
      <c r="J34" s="128">
        <v>24.71</v>
      </c>
      <c r="K34" s="128">
        <v>25.16</v>
      </c>
      <c r="L34" s="158">
        <v>26.09</v>
      </c>
      <c r="M34" s="70">
        <v>2</v>
      </c>
      <c r="N34" s="58">
        <v>1</v>
      </c>
      <c r="O34" s="58">
        <v>1</v>
      </c>
      <c r="P34" s="58">
        <v>1</v>
      </c>
      <c r="Q34" s="58">
        <v>1</v>
      </c>
      <c r="R34" s="58">
        <v>1</v>
      </c>
      <c r="S34" s="72">
        <v>1</v>
      </c>
      <c r="T34" s="165">
        <v>1</v>
      </c>
      <c r="U34" s="116">
        <v>0</v>
      </c>
      <c r="V34" s="116">
        <v>0</v>
      </c>
      <c r="W34" s="116">
        <v>0</v>
      </c>
      <c r="X34" s="116">
        <v>0</v>
      </c>
      <c r="Y34" s="116">
        <v>0</v>
      </c>
      <c r="Z34" s="166">
        <v>0</v>
      </c>
      <c r="AA34" s="70">
        <v>1</v>
      </c>
      <c r="AB34" s="58">
        <v>1</v>
      </c>
      <c r="AC34" s="58">
        <v>1</v>
      </c>
      <c r="AD34" s="58">
        <v>1</v>
      </c>
      <c r="AE34" s="58">
        <v>1</v>
      </c>
      <c r="AF34" s="58">
        <v>1</v>
      </c>
      <c r="AG34" s="84">
        <v>1</v>
      </c>
    </row>
    <row r="35" spans="1:33" x14ac:dyDescent="0.3">
      <c r="A35" s="85" t="s">
        <v>289</v>
      </c>
      <c r="B35" s="58" t="s">
        <v>251</v>
      </c>
      <c r="C35" s="58" t="s">
        <v>245</v>
      </c>
      <c r="D35" s="72" t="s">
        <v>91</v>
      </c>
      <c r="E35" s="157">
        <v>25.66</v>
      </c>
      <c r="F35" s="128">
        <v>24.52</v>
      </c>
      <c r="G35" s="128">
        <v>25.46</v>
      </c>
      <c r="H35" s="128">
        <v>25.8</v>
      </c>
      <c r="I35" s="128">
        <v>26.2</v>
      </c>
      <c r="J35" s="128">
        <v>25.27</v>
      </c>
      <c r="K35" s="128">
        <v>25.09</v>
      </c>
      <c r="L35" s="158">
        <v>25.93</v>
      </c>
      <c r="M35" s="70">
        <v>1</v>
      </c>
      <c r="N35" s="58">
        <v>1</v>
      </c>
      <c r="O35" s="58">
        <v>1</v>
      </c>
      <c r="P35" s="58">
        <v>1</v>
      </c>
      <c r="Q35" s="58">
        <v>1</v>
      </c>
      <c r="R35" s="58">
        <v>1</v>
      </c>
      <c r="S35" s="72">
        <v>1</v>
      </c>
      <c r="T35" s="165">
        <v>1</v>
      </c>
      <c r="U35" s="116">
        <v>1</v>
      </c>
      <c r="V35" s="116">
        <v>1</v>
      </c>
      <c r="W35" s="116">
        <v>1</v>
      </c>
      <c r="X35" s="116">
        <v>1</v>
      </c>
      <c r="Y35" s="116">
        <v>1</v>
      </c>
      <c r="Z35" s="166">
        <v>1</v>
      </c>
      <c r="AA35" s="70">
        <v>1</v>
      </c>
      <c r="AB35" s="58">
        <v>1</v>
      </c>
      <c r="AC35" s="58">
        <v>1</v>
      </c>
      <c r="AD35" s="58">
        <v>1</v>
      </c>
      <c r="AE35" s="58">
        <v>1</v>
      </c>
      <c r="AF35" s="58">
        <v>1</v>
      </c>
      <c r="AG35" s="84">
        <v>1</v>
      </c>
    </row>
    <row r="36" spans="1:33" x14ac:dyDescent="0.3">
      <c r="A36" s="85" t="s">
        <v>290</v>
      </c>
      <c r="B36" s="58" t="s">
        <v>251</v>
      </c>
      <c r="C36" s="58" t="s">
        <v>245</v>
      </c>
      <c r="D36" s="72" t="s">
        <v>91</v>
      </c>
      <c r="E36" s="157">
        <v>26.3</v>
      </c>
      <c r="F36" s="128">
        <v>26.16</v>
      </c>
      <c r="G36" s="128">
        <v>26.28</v>
      </c>
      <c r="H36" s="128">
        <v>26.28</v>
      </c>
      <c r="I36" s="128">
        <v>25.79</v>
      </c>
      <c r="J36" s="128">
        <v>26.43</v>
      </c>
      <c r="K36" s="128">
        <v>26.6</v>
      </c>
      <c r="L36" s="158">
        <v>26.86</v>
      </c>
      <c r="M36" s="70">
        <v>1</v>
      </c>
      <c r="N36" s="58">
        <v>1</v>
      </c>
      <c r="O36" s="58">
        <v>1</v>
      </c>
      <c r="P36" s="58">
        <v>1</v>
      </c>
      <c r="Q36" s="58">
        <v>1</v>
      </c>
      <c r="R36" s="58">
        <v>1</v>
      </c>
      <c r="S36" s="72">
        <v>1</v>
      </c>
      <c r="T36" s="165">
        <v>1</v>
      </c>
      <c r="U36" s="116">
        <v>1</v>
      </c>
      <c r="V36" s="116">
        <v>1</v>
      </c>
      <c r="W36" s="116">
        <v>1</v>
      </c>
      <c r="X36" s="116">
        <v>1</v>
      </c>
      <c r="Y36" s="116">
        <v>1</v>
      </c>
      <c r="Z36" s="166">
        <v>1</v>
      </c>
      <c r="AA36" s="70">
        <v>1</v>
      </c>
      <c r="AB36" s="58">
        <v>1</v>
      </c>
      <c r="AC36" s="58">
        <v>1</v>
      </c>
      <c r="AD36" s="58">
        <v>1</v>
      </c>
      <c r="AE36" s="58">
        <v>1</v>
      </c>
      <c r="AF36" s="58">
        <v>1</v>
      </c>
      <c r="AG36" s="84">
        <v>1</v>
      </c>
    </row>
    <row r="37" spans="1:33" x14ac:dyDescent="0.3">
      <c r="A37" s="85" t="s">
        <v>293</v>
      </c>
      <c r="B37" s="58" t="s">
        <v>251</v>
      </c>
      <c r="C37" s="58" t="s">
        <v>245</v>
      </c>
      <c r="D37" s="72" t="s">
        <v>91</v>
      </c>
      <c r="E37" s="157">
        <v>28.46</v>
      </c>
      <c r="F37" s="128">
        <v>26.98</v>
      </c>
      <c r="G37" s="128">
        <v>27.39</v>
      </c>
      <c r="H37" s="128">
        <v>27.64</v>
      </c>
      <c r="I37" s="128">
        <v>27.07</v>
      </c>
      <c r="J37" s="128">
        <v>26.76</v>
      </c>
      <c r="K37" s="128">
        <v>26.61</v>
      </c>
      <c r="L37" s="158">
        <v>26.31</v>
      </c>
      <c r="M37" s="70">
        <v>2</v>
      </c>
      <c r="N37" s="58">
        <v>2</v>
      </c>
      <c r="O37" s="58">
        <v>1</v>
      </c>
      <c r="P37" s="58">
        <v>1</v>
      </c>
      <c r="Q37" s="58">
        <v>1</v>
      </c>
      <c r="R37" s="58">
        <v>1</v>
      </c>
      <c r="S37" s="72">
        <v>1</v>
      </c>
      <c r="T37" s="165">
        <v>1</v>
      </c>
      <c r="U37" s="116">
        <v>1</v>
      </c>
      <c r="V37" s="116">
        <v>1</v>
      </c>
      <c r="W37" s="116">
        <v>1</v>
      </c>
      <c r="X37" s="116">
        <v>1</v>
      </c>
      <c r="Y37" s="116">
        <v>1</v>
      </c>
      <c r="Z37" s="166">
        <v>1</v>
      </c>
      <c r="AA37" s="70">
        <v>1</v>
      </c>
      <c r="AB37" s="58">
        <v>1</v>
      </c>
      <c r="AC37" s="58">
        <v>1</v>
      </c>
      <c r="AD37" s="58">
        <v>1</v>
      </c>
      <c r="AE37" s="58">
        <v>1</v>
      </c>
      <c r="AF37" s="58">
        <v>1</v>
      </c>
      <c r="AG37" s="84">
        <v>1</v>
      </c>
    </row>
    <row r="38" spans="1:33" x14ac:dyDescent="0.3">
      <c r="A38" s="85" t="s">
        <v>294</v>
      </c>
      <c r="B38" s="58" t="s">
        <v>251</v>
      </c>
      <c r="C38" s="58" t="s">
        <v>245</v>
      </c>
      <c r="D38" s="72" t="s">
        <v>91</v>
      </c>
      <c r="E38" s="157">
        <v>29.33</v>
      </c>
      <c r="F38" s="128">
        <v>27.13</v>
      </c>
      <c r="G38" s="128">
        <v>26.71</v>
      </c>
      <c r="H38" s="128">
        <v>26.36</v>
      </c>
      <c r="I38" s="128">
        <v>25.59</v>
      </c>
      <c r="J38" s="128">
        <v>27.05</v>
      </c>
      <c r="K38" s="128">
        <v>27.26</v>
      </c>
      <c r="L38" s="158">
        <v>27.05</v>
      </c>
      <c r="M38" s="70">
        <v>1</v>
      </c>
      <c r="N38" s="58">
        <v>1</v>
      </c>
      <c r="O38" s="58">
        <v>1</v>
      </c>
      <c r="P38" s="58">
        <v>1</v>
      </c>
      <c r="Q38" s="58">
        <v>1</v>
      </c>
      <c r="R38" s="58">
        <v>1</v>
      </c>
      <c r="S38" s="72">
        <v>1</v>
      </c>
      <c r="T38" s="165">
        <v>0</v>
      </c>
      <c r="U38" s="116">
        <v>0</v>
      </c>
      <c r="V38" s="116">
        <v>0</v>
      </c>
      <c r="W38" s="116">
        <v>0</v>
      </c>
      <c r="X38" s="116">
        <v>0</v>
      </c>
      <c r="Y38" s="116">
        <v>0</v>
      </c>
      <c r="Z38" s="166">
        <v>0</v>
      </c>
      <c r="AA38" s="70">
        <v>1</v>
      </c>
      <c r="AB38" s="58">
        <v>1</v>
      </c>
      <c r="AC38" s="58">
        <v>1</v>
      </c>
      <c r="AD38" s="58">
        <v>1</v>
      </c>
      <c r="AE38" s="58">
        <v>1</v>
      </c>
      <c r="AF38" s="58">
        <v>1</v>
      </c>
      <c r="AG38" s="84">
        <v>1</v>
      </c>
    </row>
    <row r="39" spans="1:33" x14ac:dyDescent="0.3">
      <c r="A39" s="85" t="s">
        <v>295</v>
      </c>
      <c r="B39" s="58" t="s">
        <v>251</v>
      </c>
      <c r="C39" s="58" t="s">
        <v>245</v>
      </c>
      <c r="D39" s="72" t="s">
        <v>91</v>
      </c>
      <c r="E39" s="157">
        <v>24.22</v>
      </c>
      <c r="F39" s="128">
        <v>22.96</v>
      </c>
      <c r="G39" s="128">
        <v>22.45</v>
      </c>
      <c r="H39" s="128">
        <v>23.49</v>
      </c>
      <c r="I39" s="128">
        <v>23.36</v>
      </c>
      <c r="J39" s="128">
        <v>24.03</v>
      </c>
      <c r="K39" s="128">
        <v>24.26</v>
      </c>
      <c r="L39" s="158">
        <v>23.8</v>
      </c>
      <c r="M39" s="70">
        <v>2</v>
      </c>
      <c r="N39" s="58">
        <v>2</v>
      </c>
      <c r="O39" s="58">
        <v>2</v>
      </c>
      <c r="P39" s="58">
        <v>2</v>
      </c>
      <c r="Q39" s="58">
        <v>2</v>
      </c>
      <c r="R39" s="58">
        <v>1</v>
      </c>
      <c r="S39" s="72">
        <v>1</v>
      </c>
      <c r="T39" s="165">
        <v>1</v>
      </c>
      <c r="U39" s="116">
        <v>0</v>
      </c>
      <c r="V39" s="116">
        <v>0</v>
      </c>
      <c r="W39" s="116">
        <v>0</v>
      </c>
      <c r="X39" s="116">
        <v>0</v>
      </c>
      <c r="Y39" s="116">
        <v>0</v>
      </c>
      <c r="Z39" s="166">
        <v>0</v>
      </c>
      <c r="AA39" s="70">
        <v>1</v>
      </c>
      <c r="AB39" s="58">
        <v>1</v>
      </c>
      <c r="AC39" s="58">
        <v>1</v>
      </c>
      <c r="AD39" s="58">
        <v>1</v>
      </c>
      <c r="AE39" s="58">
        <v>1</v>
      </c>
      <c r="AF39" s="58">
        <v>1</v>
      </c>
      <c r="AG39" s="84">
        <v>1</v>
      </c>
    </row>
    <row r="40" spans="1:33" ht="16.2" thickBot="1" x14ac:dyDescent="0.35">
      <c r="A40" s="86" t="s">
        <v>300</v>
      </c>
      <c r="B40" s="65" t="s">
        <v>251</v>
      </c>
      <c r="C40" s="65" t="s">
        <v>245</v>
      </c>
      <c r="D40" s="151" t="s">
        <v>91</v>
      </c>
      <c r="E40" s="161">
        <v>26.65</v>
      </c>
      <c r="F40" s="89">
        <v>25.03</v>
      </c>
      <c r="G40" s="89">
        <v>25.77</v>
      </c>
      <c r="H40" s="89">
        <v>26.22</v>
      </c>
      <c r="I40" s="89">
        <v>26.57</v>
      </c>
      <c r="J40" s="89">
        <v>25.42</v>
      </c>
      <c r="K40" s="89">
        <v>25.02</v>
      </c>
      <c r="L40" s="162">
        <v>25.12</v>
      </c>
      <c r="M40" s="153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151">
        <v>1</v>
      </c>
      <c r="T40" s="169">
        <v>1</v>
      </c>
      <c r="U40" s="65">
        <v>0</v>
      </c>
      <c r="V40" s="65">
        <v>1</v>
      </c>
      <c r="W40" s="65">
        <v>0</v>
      </c>
      <c r="X40" s="65">
        <v>0</v>
      </c>
      <c r="Y40" s="65">
        <v>0</v>
      </c>
      <c r="Z40" s="170">
        <v>0</v>
      </c>
      <c r="AA40" s="153">
        <v>2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87">
        <v>1</v>
      </c>
    </row>
  </sheetData>
  <mergeCells count="5">
    <mergeCell ref="E1:L1"/>
    <mergeCell ref="M1:S1"/>
    <mergeCell ref="T1:Z1"/>
    <mergeCell ref="AA1:AG1"/>
    <mergeCell ref="A1:D1"/>
  </mergeCells>
  <phoneticPr fontId="6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M144"/>
  <sheetViews>
    <sheetView zoomScale="70" zoomScaleNormal="70" workbookViewId="0">
      <selection activeCell="A122" sqref="A122"/>
    </sheetView>
  </sheetViews>
  <sheetFormatPr defaultColWidth="11" defaultRowHeight="15.6" x14ac:dyDescent="0.3"/>
  <cols>
    <col min="1" max="3" width="13" style="47" customWidth="1"/>
    <col min="4" max="4" width="13.796875" style="47" customWidth="1"/>
    <col min="5" max="5" width="13" style="47" customWidth="1"/>
    <col min="6" max="6" width="9" style="48" customWidth="1"/>
    <col min="7" max="7" width="9.296875" style="48" customWidth="1"/>
    <col min="8" max="9" width="10.19921875" style="48" customWidth="1"/>
    <col min="10" max="10" width="17.296875" style="48" customWidth="1"/>
    <col min="11" max="11" width="16.296875" style="48" customWidth="1"/>
    <col min="12" max="12" width="16.69921875" style="48" customWidth="1"/>
    <col min="13" max="26" width="5.19921875" style="48" customWidth="1"/>
    <col min="27" max="27" width="9" style="48" customWidth="1"/>
    <col min="28" max="28" width="9.296875" style="48" customWidth="1"/>
    <col min="29" max="29" width="10.19921875" style="48" customWidth="1"/>
    <col min="30" max="30" width="8.296875" style="47" customWidth="1"/>
    <col min="31" max="16384" width="11" style="48"/>
  </cols>
  <sheetData>
    <row r="1" spans="1:30" ht="54" customHeight="1" thickBot="1" x14ac:dyDescent="0.35">
      <c r="A1" s="120" t="s">
        <v>1</v>
      </c>
      <c r="B1" s="121" t="s">
        <v>338</v>
      </c>
      <c r="C1" s="121" t="s">
        <v>247</v>
      </c>
      <c r="D1" s="122" t="s">
        <v>335</v>
      </c>
      <c r="E1" s="123" t="s">
        <v>252</v>
      </c>
      <c r="F1" s="124" t="s">
        <v>5</v>
      </c>
      <c r="G1" s="124" t="s">
        <v>4</v>
      </c>
      <c r="H1" s="124" t="s">
        <v>3</v>
      </c>
      <c r="I1" s="125" t="s">
        <v>337</v>
      </c>
      <c r="AD1" s="48"/>
    </row>
    <row r="2" spans="1:30" x14ac:dyDescent="0.3">
      <c r="A2" s="92" t="s">
        <v>317</v>
      </c>
      <c r="B2" s="52" t="s">
        <v>249</v>
      </c>
      <c r="C2" s="52" t="s">
        <v>245</v>
      </c>
      <c r="D2" s="52" t="s">
        <v>91</v>
      </c>
      <c r="E2" s="200" t="s">
        <v>303</v>
      </c>
      <c r="F2" s="203">
        <v>4</v>
      </c>
      <c r="G2" s="93">
        <v>6</v>
      </c>
      <c r="H2" s="93">
        <v>10</v>
      </c>
      <c r="I2" s="94">
        <f>SUM(Table146[[#This Row],[Right]]+Table146[[#This Row],[Left]]+Table146[[#This Row],[Both]])</f>
        <v>20</v>
      </c>
      <c r="AD2" s="48"/>
    </row>
    <row r="3" spans="1:30" x14ac:dyDescent="0.3">
      <c r="A3" s="85" t="s">
        <v>317</v>
      </c>
      <c r="B3" s="58" t="s">
        <v>249</v>
      </c>
      <c r="C3" s="58" t="s">
        <v>245</v>
      </c>
      <c r="D3" s="58" t="s">
        <v>91</v>
      </c>
      <c r="E3" s="72" t="s">
        <v>336</v>
      </c>
      <c r="F3" s="204">
        <v>2</v>
      </c>
      <c r="G3" s="95">
        <v>7</v>
      </c>
      <c r="H3" s="95">
        <v>11</v>
      </c>
      <c r="I3" s="96">
        <f>SUM(Table146[[#This Row],[Right]]+Table146[[#This Row],[Left]]+Table146[[#This Row],[Both]])</f>
        <v>20</v>
      </c>
      <c r="AD3" s="48"/>
    </row>
    <row r="4" spans="1:30" x14ac:dyDescent="0.3">
      <c r="A4" s="85" t="s">
        <v>317</v>
      </c>
      <c r="B4" s="58" t="s">
        <v>249</v>
      </c>
      <c r="C4" s="58" t="s">
        <v>245</v>
      </c>
      <c r="D4" s="58" t="s">
        <v>91</v>
      </c>
      <c r="E4" s="72" t="s">
        <v>81</v>
      </c>
      <c r="F4" s="204">
        <v>1</v>
      </c>
      <c r="G4" s="95">
        <v>4</v>
      </c>
      <c r="H4" s="95">
        <v>15</v>
      </c>
      <c r="I4" s="96">
        <f>SUM(Table146[[#This Row],[Right]]+Table146[[#This Row],[Left]]+Table146[[#This Row],[Both]])</f>
        <v>20</v>
      </c>
      <c r="AD4" s="48"/>
    </row>
    <row r="5" spans="1:30" x14ac:dyDescent="0.3">
      <c r="A5" s="97" t="s">
        <v>318</v>
      </c>
      <c r="B5" s="90" t="s">
        <v>249</v>
      </c>
      <c r="C5" s="90" t="s">
        <v>245</v>
      </c>
      <c r="D5" s="90" t="s">
        <v>91</v>
      </c>
      <c r="E5" s="201" t="s">
        <v>303</v>
      </c>
      <c r="F5" s="205">
        <v>4</v>
      </c>
      <c r="G5" s="98">
        <v>7</v>
      </c>
      <c r="H5" s="98">
        <v>9</v>
      </c>
      <c r="I5" s="99">
        <f>SUM(Table146[[#This Row],[Right]]+Table146[[#This Row],[Left]]+Table146[[#This Row],[Both]])</f>
        <v>20</v>
      </c>
      <c r="AD5" s="48"/>
    </row>
    <row r="6" spans="1:30" x14ac:dyDescent="0.3">
      <c r="A6" s="85" t="s">
        <v>318</v>
      </c>
      <c r="B6" s="58" t="s">
        <v>249</v>
      </c>
      <c r="C6" s="58" t="s">
        <v>245</v>
      </c>
      <c r="D6" s="58" t="s">
        <v>91</v>
      </c>
      <c r="E6" s="72" t="s">
        <v>336</v>
      </c>
      <c r="F6" s="204">
        <v>1</v>
      </c>
      <c r="G6" s="95">
        <v>6</v>
      </c>
      <c r="H6" s="95">
        <v>13</v>
      </c>
      <c r="I6" s="96">
        <f>SUM(Table146[[#This Row],[Right]]+Table146[[#This Row],[Left]]+Table146[[#This Row],[Both]])</f>
        <v>20</v>
      </c>
      <c r="AD6" s="48"/>
    </row>
    <row r="7" spans="1:30" x14ac:dyDescent="0.3">
      <c r="A7" s="100" t="s">
        <v>318</v>
      </c>
      <c r="B7" s="91" t="s">
        <v>249</v>
      </c>
      <c r="C7" s="91" t="s">
        <v>245</v>
      </c>
      <c r="D7" s="91" t="s">
        <v>91</v>
      </c>
      <c r="E7" s="202" t="s">
        <v>81</v>
      </c>
      <c r="F7" s="206">
        <v>2</v>
      </c>
      <c r="G7" s="101">
        <v>4</v>
      </c>
      <c r="H7" s="101">
        <v>14</v>
      </c>
      <c r="I7" s="102">
        <f>SUM(Table146[[#This Row],[Right]]+Table146[[#This Row],[Left]]+Table146[[#This Row],[Both]])</f>
        <v>20</v>
      </c>
      <c r="AD7" s="48"/>
    </row>
    <row r="8" spans="1:30" x14ac:dyDescent="0.3">
      <c r="A8" s="85" t="s">
        <v>320</v>
      </c>
      <c r="B8" s="58" t="s">
        <v>249</v>
      </c>
      <c r="C8" s="58" t="s">
        <v>245</v>
      </c>
      <c r="D8" s="58" t="s">
        <v>91</v>
      </c>
      <c r="E8" s="72" t="s">
        <v>303</v>
      </c>
      <c r="F8" s="204">
        <v>6</v>
      </c>
      <c r="G8" s="95">
        <v>5</v>
      </c>
      <c r="H8" s="95">
        <v>9</v>
      </c>
      <c r="I8" s="96">
        <f>SUM(Table146[[#This Row],[Right]]+Table146[[#This Row],[Left]]+Table146[[#This Row],[Both]])</f>
        <v>20</v>
      </c>
      <c r="AD8" s="48"/>
    </row>
    <row r="9" spans="1:30" x14ac:dyDescent="0.3">
      <c r="A9" s="85" t="s">
        <v>320</v>
      </c>
      <c r="B9" s="58" t="s">
        <v>249</v>
      </c>
      <c r="C9" s="58" t="s">
        <v>245</v>
      </c>
      <c r="D9" s="58" t="s">
        <v>91</v>
      </c>
      <c r="E9" s="72" t="s">
        <v>336</v>
      </c>
      <c r="F9" s="204">
        <v>4</v>
      </c>
      <c r="G9" s="95">
        <v>6</v>
      </c>
      <c r="H9" s="95">
        <v>10</v>
      </c>
      <c r="I9" s="96">
        <f>SUM(Table146[[#This Row],[Right]]+Table146[[#This Row],[Left]]+Table146[[#This Row],[Both]])</f>
        <v>20</v>
      </c>
      <c r="AD9" s="48"/>
    </row>
    <row r="10" spans="1:30" x14ac:dyDescent="0.3">
      <c r="A10" s="85" t="s">
        <v>320</v>
      </c>
      <c r="B10" s="58" t="s">
        <v>249</v>
      </c>
      <c r="C10" s="58" t="s">
        <v>245</v>
      </c>
      <c r="D10" s="58" t="s">
        <v>91</v>
      </c>
      <c r="E10" s="72" t="s">
        <v>81</v>
      </c>
      <c r="F10" s="204">
        <v>2</v>
      </c>
      <c r="G10" s="95">
        <v>3</v>
      </c>
      <c r="H10" s="95">
        <v>15</v>
      </c>
      <c r="I10" s="96">
        <f>SUM(Table146[[#This Row],[Right]]+Table146[[#This Row],[Left]]+Table146[[#This Row],[Both]])</f>
        <v>20</v>
      </c>
      <c r="AD10" s="48"/>
    </row>
    <row r="11" spans="1:30" x14ac:dyDescent="0.3">
      <c r="A11" s="97" t="s">
        <v>322</v>
      </c>
      <c r="B11" s="90" t="s">
        <v>249</v>
      </c>
      <c r="C11" s="90" t="s">
        <v>245</v>
      </c>
      <c r="D11" s="90" t="s">
        <v>91</v>
      </c>
      <c r="E11" s="201" t="s">
        <v>303</v>
      </c>
      <c r="F11" s="205">
        <v>4</v>
      </c>
      <c r="G11" s="98">
        <v>5</v>
      </c>
      <c r="H11" s="98">
        <v>11</v>
      </c>
      <c r="I11" s="99">
        <f>SUM(Table146[[#This Row],[Right]]+Table146[[#This Row],[Left]]+Table146[[#This Row],[Both]])</f>
        <v>20</v>
      </c>
      <c r="AD11" s="48"/>
    </row>
    <row r="12" spans="1:30" x14ac:dyDescent="0.3">
      <c r="A12" s="85" t="s">
        <v>322</v>
      </c>
      <c r="B12" s="58" t="s">
        <v>249</v>
      </c>
      <c r="C12" s="58" t="s">
        <v>245</v>
      </c>
      <c r="D12" s="58" t="s">
        <v>91</v>
      </c>
      <c r="E12" s="72" t="s">
        <v>336</v>
      </c>
      <c r="F12" s="204">
        <v>4</v>
      </c>
      <c r="G12" s="95">
        <v>6</v>
      </c>
      <c r="H12" s="95">
        <v>10</v>
      </c>
      <c r="I12" s="96">
        <f>SUM(Table146[[#This Row],[Right]]+Table146[[#This Row],[Left]]+Table146[[#This Row],[Both]])</f>
        <v>20</v>
      </c>
      <c r="AD12" s="48"/>
    </row>
    <row r="13" spans="1:30" x14ac:dyDescent="0.3">
      <c r="A13" s="100" t="s">
        <v>322</v>
      </c>
      <c r="B13" s="91" t="s">
        <v>249</v>
      </c>
      <c r="C13" s="91" t="s">
        <v>245</v>
      </c>
      <c r="D13" s="91" t="s">
        <v>91</v>
      </c>
      <c r="E13" s="202" t="s">
        <v>81</v>
      </c>
      <c r="F13" s="206">
        <v>1</v>
      </c>
      <c r="G13" s="101">
        <v>4</v>
      </c>
      <c r="H13" s="101">
        <v>15</v>
      </c>
      <c r="I13" s="102">
        <f>SUM(Table146[[#This Row],[Right]]+Table146[[#This Row],[Left]]+Table146[[#This Row],[Both]])</f>
        <v>20</v>
      </c>
      <c r="AD13" s="48"/>
    </row>
    <row r="14" spans="1:30" x14ac:dyDescent="0.3">
      <c r="A14" s="85" t="s">
        <v>260</v>
      </c>
      <c r="B14" s="58" t="s">
        <v>249</v>
      </c>
      <c r="C14" s="58" t="s">
        <v>245</v>
      </c>
      <c r="D14" s="58" t="s">
        <v>91</v>
      </c>
      <c r="E14" s="72" t="s">
        <v>303</v>
      </c>
      <c r="F14" s="204">
        <v>5</v>
      </c>
      <c r="G14" s="95">
        <v>5</v>
      </c>
      <c r="H14" s="95">
        <v>10</v>
      </c>
      <c r="I14" s="99">
        <f>SUM(Table146[[#This Row],[Right]]+Table146[[#This Row],[Left]]+Table146[[#This Row],[Both]])</f>
        <v>20</v>
      </c>
      <c r="AD14" s="48"/>
    </row>
    <row r="15" spans="1:30" x14ac:dyDescent="0.3">
      <c r="A15" s="85" t="s">
        <v>260</v>
      </c>
      <c r="B15" s="58" t="s">
        <v>249</v>
      </c>
      <c r="C15" s="58" t="s">
        <v>245</v>
      </c>
      <c r="D15" s="58" t="s">
        <v>91</v>
      </c>
      <c r="E15" s="72" t="s">
        <v>336</v>
      </c>
      <c r="F15" s="204">
        <v>2</v>
      </c>
      <c r="G15" s="95">
        <v>7</v>
      </c>
      <c r="H15" s="95">
        <v>11</v>
      </c>
      <c r="I15" s="96">
        <f>SUM(Table146[[#This Row],[Right]]+Table146[[#This Row],[Left]]+Table146[[#This Row],[Both]])</f>
        <v>20</v>
      </c>
      <c r="AD15" s="48"/>
    </row>
    <row r="16" spans="1:30" x14ac:dyDescent="0.3">
      <c r="A16" s="85" t="s">
        <v>260</v>
      </c>
      <c r="B16" s="58" t="s">
        <v>249</v>
      </c>
      <c r="C16" s="58" t="s">
        <v>245</v>
      </c>
      <c r="D16" s="58" t="s">
        <v>91</v>
      </c>
      <c r="E16" s="72" t="s">
        <v>81</v>
      </c>
      <c r="F16" s="204">
        <v>2</v>
      </c>
      <c r="G16" s="95">
        <v>4</v>
      </c>
      <c r="H16" s="95">
        <v>14</v>
      </c>
      <c r="I16" s="102">
        <f>SUM(Table146[[#This Row],[Right]]+Table146[[#This Row],[Left]]+Table146[[#This Row],[Both]])</f>
        <v>20</v>
      </c>
      <c r="AD16" s="48"/>
    </row>
    <row r="17" spans="1:143" x14ac:dyDescent="0.3">
      <c r="A17" s="97" t="s">
        <v>269</v>
      </c>
      <c r="B17" s="90" t="s">
        <v>249</v>
      </c>
      <c r="C17" s="90" t="s">
        <v>245</v>
      </c>
      <c r="D17" s="90" t="s">
        <v>91</v>
      </c>
      <c r="E17" s="201" t="s">
        <v>303</v>
      </c>
      <c r="F17" s="205">
        <v>4</v>
      </c>
      <c r="G17" s="98">
        <v>5</v>
      </c>
      <c r="H17" s="98">
        <v>11</v>
      </c>
      <c r="I17" s="96">
        <f>SUM(Table146[[#This Row],[Right]]+Table146[[#This Row],[Left]]+Table146[[#This Row],[Both]])</f>
        <v>20</v>
      </c>
      <c r="AD17" s="48"/>
    </row>
    <row r="18" spans="1:143" x14ac:dyDescent="0.3">
      <c r="A18" s="85" t="s">
        <v>269</v>
      </c>
      <c r="B18" s="58" t="s">
        <v>249</v>
      </c>
      <c r="C18" s="58" t="s">
        <v>245</v>
      </c>
      <c r="D18" s="58" t="s">
        <v>91</v>
      </c>
      <c r="E18" s="72" t="s">
        <v>336</v>
      </c>
      <c r="F18" s="204">
        <v>1</v>
      </c>
      <c r="G18" s="95">
        <v>8</v>
      </c>
      <c r="H18" s="95">
        <v>11</v>
      </c>
      <c r="I18" s="96">
        <f>SUM(Table146[[#This Row],[Right]]+Table146[[#This Row],[Left]]+Table146[[#This Row],[Both]])</f>
        <v>20</v>
      </c>
      <c r="AD18" s="48"/>
    </row>
    <row r="19" spans="1:143" s="103" customFormat="1" x14ac:dyDescent="0.3">
      <c r="A19" s="100" t="s">
        <v>269</v>
      </c>
      <c r="B19" s="91" t="s">
        <v>249</v>
      </c>
      <c r="C19" s="91" t="s">
        <v>245</v>
      </c>
      <c r="D19" s="91" t="s">
        <v>91</v>
      </c>
      <c r="E19" s="202" t="s">
        <v>81</v>
      </c>
      <c r="F19" s="206">
        <v>2</v>
      </c>
      <c r="G19" s="101">
        <v>5</v>
      </c>
      <c r="H19" s="101">
        <v>13</v>
      </c>
      <c r="I19" s="96">
        <f>SUM(Table146[[#This Row],[Right]]+Table146[[#This Row],[Left]]+Table146[[#This Row],[Both]])</f>
        <v>20</v>
      </c>
    </row>
    <row r="20" spans="1:143" s="103" customFormat="1" x14ac:dyDescent="0.3">
      <c r="A20" s="85" t="s">
        <v>277</v>
      </c>
      <c r="B20" s="58" t="s">
        <v>249</v>
      </c>
      <c r="C20" s="58" t="s">
        <v>245</v>
      </c>
      <c r="D20" s="58" t="s">
        <v>250</v>
      </c>
      <c r="E20" s="72" t="s">
        <v>303</v>
      </c>
      <c r="F20" s="204">
        <v>5</v>
      </c>
      <c r="G20" s="95">
        <v>5</v>
      </c>
      <c r="H20" s="95">
        <v>10</v>
      </c>
      <c r="I20" s="99">
        <f>SUM(Table146[[#This Row],[Right]]+Table146[[#This Row],[Left]]+Table146[[#This Row],[Both]])</f>
        <v>20</v>
      </c>
    </row>
    <row r="21" spans="1:143" s="103" customFormat="1" x14ac:dyDescent="0.3">
      <c r="A21" s="85" t="s">
        <v>277</v>
      </c>
      <c r="B21" s="58" t="s">
        <v>249</v>
      </c>
      <c r="C21" s="58" t="s">
        <v>245</v>
      </c>
      <c r="D21" s="58" t="s">
        <v>250</v>
      </c>
      <c r="E21" s="72" t="s">
        <v>336</v>
      </c>
      <c r="F21" s="204">
        <v>6</v>
      </c>
      <c r="G21" s="95">
        <v>5</v>
      </c>
      <c r="H21" s="95">
        <v>9</v>
      </c>
      <c r="I21" s="96">
        <f>SUM(Table146[[#This Row],[Right]]+Table146[[#This Row],[Left]]+Table146[[#This Row],[Both]])</f>
        <v>20</v>
      </c>
    </row>
    <row r="22" spans="1:143" s="103" customFormat="1" x14ac:dyDescent="0.3">
      <c r="A22" s="85" t="s">
        <v>277</v>
      </c>
      <c r="B22" s="58" t="s">
        <v>249</v>
      </c>
      <c r="C22" s="58" t="s">
        <v>245</v>
      </c>
      <c r="D22" s="58" t="s">
        <v>250</v>
      </c>
      <c r="E22" s="72" t="s">
        <v>81</v>
      </c>
      <c r="F22" s="204">
        <v>3</v>
      </c>
      <c r="G22" s="95">
        <v>3</v>
      </c>
      <c r="H22" s="95">
        <v>14</v>
      </c>
      <c r="I22" s="96">
        <f>SUM(Table146[[#This Row],[Right]]+Table146[[#This Row],[Left]]+Table146[[#This Row],[Both]])</f>
        <v>20</v>
      </c>
    </row>
    <row r="23" spans="1:143" s="103" customFormat="1" x14ac:dyDescent="0.3">
      <c r="A23" s="97" t="s">
        <v>263</v>
      </c>
      <c r="B23" s="90" t="s">
        <v>249</v>
      </c>
      <c r="C23" s="90" t="s">
        <v>245</v>
      </c>
      <c r="D23" s="90" t="s">
        <v>250</v>
      </c>
      <c r="E23" s="201" t="s">
        <v>303</v>
      </c>
      <c r="F23" s="205">
        <v>5</v>
      </c>
      <c r="G23" s="98">
        <v>6</v>
      </c>
      <c r="H23" s="98">
        <v>9</v>
      </c>
      <c r="I23" s="99">
        <f>SUM(Table146[[#This Row],[Right]]+Table146[[#This Row],[Left]]+Table146[[#This Row],[Both]])</f>
        <v>20</v>
      </c>
    </row>
    <row r="24" spans="1:143" x14ac:dyDescent="0.3">
      <c r="A24" s="85" t="s">
        <v>263</v>
      </c>
      <c r="B24" s="58" t="s">
        <v>249</v>
      </c>
      <c r="C24" s="58" t="s">
        <v>245</v>
      </c>
      <c r="D24" s="58" t="s">
        <v>250</v>
      </c>
      <c r="E24" s="72" t="s">
        <v>336</v>
      </c>
      <c r="F24" s="204">
        <v>6</v>
      </c>
      <c r="G24" s="95">
        <v>4</v>
      </c>
      <c r="H24" s="95">
        <v>10</v>
      </c>
      <c r="I24" s="96">
        <f>SUM(Table146[[#This Row],[Right]]+Table146[[#This Row],[Left]]+Table146[[#This Row],[Both]])</f>
        <v>20</v>
      </c>
      <c r="AD24" s="48"/>
    </row>
    <row r="25" spans="1:143" x14ac:dyDescent="0.3">
      <c r="A25" s="100" t="s">
        <v>263</v>
      </c>
      <c r="B25" s="91" t="s">
        <v>249</v>
      </c>
      <c r="C25" s="91" t="s">
        <v>245</v>
      </c>
      <c r="D25" s="91" t="s">
        <v>250</v>
      </c>
      <c r="E25" s="202" t="s">
        <v>81</v>
      </c>
      <c r="F25" s="206">
        <v>4</v>
      </c>
      <c r="G25" s="101">
        <v>5</v>
      </c>
      <c r="H25" s="101">
        <v>11</v>
      </c>
      <c r="I25" s="102">
        <f>SUM(Table146[[#This Row],[Right]]+Table146[[#This Row],[Left]]+Table146[[#This Row],[Both]])</f>
        <v>20</v>
      </c>
      <c r="AD25" s="48"/>
    </row>
    <row r="26" spans="1:143" x14ac:dyDescent="0.3">
      <c r="A26" s="85" t="s">
        <v>264</v>
      </c>
      <c r="B26" s="58" t="s">
        <v>249</v>
      </c>
      <c r="C26" s="58" t="s">
        <v>245</v>
      </c>
      <c r="D26" s="58" t="s">
        <v>250</v>
      </c>
      <c r="E26" s="72" t="s">
        <v>303</v>
      </c>
      <c r="F26" s="204">
        <v>5</v>
      </c>
      <c r="G26" s="95">
        <v>5</v>
      </c>
      <c r="H26" s="95">
        <v>10</v>
      </c>
      <c r="I26" s="96">
        <f>SUM(Table146[[#This Row],[Right]]+Table146[[#This Row],[Left]]+Table146[[#This Row],[Both]])</f>
        <v>20</v>
      </c>
      <c r="AD26" s="48"/>
    </row>
    <row r="27" spans="1:143" x14ac:dyDescent="0.3">
      <c r="A27" s="85" t="s">
        <v>264</v>
      </c>
      <c r="B27" s="58" t="s">
        <v>249</v>
      </c>
      <c r="C27" s="58" t="s">
        <v>245</v>
      </c>
      <c r="D27" s="58" t="s">
        <v>250</v>
      </c>
      <c r="E27" s="72" t="s">
        <v>336</v>
      </c>
      <c r="F27" s="204">
        <v>4</v>
      </c>
      <c r="G27" s="95">
        <v>6</v>
      </c>
      <c r="H27" s="95">
        <v>10</v>
      </c>
      <c r="I27" s="96">
        <f>SUM(Table146[[#This Row],[Right]]+Table146[[#This Row],[Left]]+Table146[[#This Row],[Both]])</f>
        <v>20</v>
      </c>
      <c r="AD27" s="48"/>
    </row>
    <row r="28" spans="1:143" x14ac:dyDescent="0.3">
      <c r="A28" s="85" t="s">
        <v>264</v>
      </c>
      <c r="B28" s="58" t="s">
        <v>249</v>
      </c>
      <c r="C28" s="58" t="s">
        <v>245</v>
      </c>
      <c r="D28" s="58" t="s">
        <v>250</v>
      </c>
      <c r="E28" s="72" t="s">
        <v>81</v>
      </c>
      <c r="F28" s="204">
        <v>4</v>
      </c>
      <c r="G28" s="95">
        <v>4</v>
      </c>
      <c r="H28" s="95">
        <v>12</v>
      </c>
      <c r="I28" s="102">
        <f>SUM(Table146[[#This Row],[Right]]+Table146[[#This Row],[Left]]+Table146[[#This Row],[Both]])</f>
        <v>20</v>
      </c>
      <c r="AD28" s="48"/>
    </row>
    <row r="29" spans="1:143" s="105" customFormat="1" x14ac:dyDescent="0.3">
      <c r="A29" s="97" t="s">
        <v>270</v>
      </c>
      <c r="B29" s="90" t="s">
        <v>249</v>
      </c>
      <c r="C29" s="90" t="s">
        <v>245</v>
      </c>
      <c r="D29" s="90" t="s">
        <v>250</v>
      </c>
      <c r="E29" s="201" t="s">
        <v>303</v>
      </c>
      <c r="F29" s="205">
        <v>4</v>
      </c>
      <c r="G29" s="98">
        <v>5</v>
      </c>
      <c r="H29" s="98">
        <v>11</v>
      </c>
      <c r="I29" s="99">
        <f>SUM(Table146[[#This Row],[Right]]+Table146[[#This Row],[Left]]+Table146[[#This Row],[Both]])</f>
        <v>20</v>
      </c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  <c r="DD29" s="104"/>
      <c r="DE29" s="104"/>
      <c r="DF29" s="104"/>
      <c r="DG29" s="104"/>
      <c r="DH29" s="104"/>
      <c r="DI29" s="104"/>
      <c r="DJ29" s="104"/>
      <c r="DK29" s="104"/>
      <c r="DL29" s="104"/>
      <c r="DM29" s="104"/>
      <c r="DN29" s="104"/>
      <c r="DO29" s="104"/>
      <c r="DP29" s="104"/>
      <c r="DQ29" s="104"/>
      <c r="DR29" s="104"/>
      <c r="DS29" s="104"/>
      <c r="DT29" s="104"/>
      <c r="DU29" s="104"/>
      <c r="DV29" s="104"/>
      <c r="DW29" s="104"/>
      <c r="DX29" s="104"/>
      <c r="DY29" s="104"/>
      <c r="DZ29" s="104"/>
      <c r="EA29" s="104"/>
      <c r="EB29" s="104"/>
      <c r="EC29" s="104"/>
      <c r="ED29" s="104"/>
      <c r="EE29" s="104"/>
      <c r="EF29" s="104"/>
      <c r="EG29" s="104"/>
      <c r="EH29" s="104"/>
      <c r="EI29" s="104"/>
      <c r="EJ29" s="104"/>
      <c r="EK29" s="104"/>
      <c r="EL29" s="104"/>
      <c r="EM29" s="104"/>
    </row>
    <row r="30" spans="1:143" s="105" customFormat="1" x14ac:dyDescent="0.3">
      <c r="A30" s="85" t="s">
        <v>270</v>
      </c>
      <c r="B30" s="58" t="s">
        <v>249</v>
      </c>
      <c r="C30" s="58" t="s">
        <v>245</v>
      </c>
      <c r="D30" s="58" t="s">
        <v>250</v>
      </c>
      <c r="E30" s="72" t="s">
        <v>336</v>
      </c>
      <c r="F30" s="204">
        <v>5</v>
      </c>
      <c r="G30" s="95">
        <v>5</v>
      </c>
      <c r="H30" s="95">
        <v>10</v>
      </c>
      <c r="I30" s="96">
        <f>SUM(Table146[[#This Row],[Right]]+Table146[[#This Row],[Left]]+Table146[[#This Row],[Both]])</f>
        <v>20</v>
      </c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104"/>
      <c r="DS30" s="104"/>
      <c r="DT30" s="104"/>
      <c r="DU30" s="104"/>
      <c r="DV30" s="104"/>
      <c r="DW30" s="104"/>
      <c r="DX30" s="104"/>
      <c r="DY30" s="104"/>
      <c r="DZ30" s="104"/>
      <c r="EA30" s="104"/>
      <c r="EB30" s="104"/>
      <c r="EC30" s="104"/>
      <c r="ED30" s="104"/>
      <c r="EE30" s="104"/>
      <c r="EF30" s="104"/>
      <c r="EG30" s="104"/>
      <c r="EH30" s="104"/>
      <c r="EI30" s="104"/>
      <c r="EJ30" s="104"/>
      <c r="EK30" s="104"/>
      <c r="EL30" s="104"/>
      <c r="EM30" s="104"/>
    </row>
    <row r="31" spans="1:143" s="105" customFormat="1" x14ac:dyDescent="0.3">
      <c r="A31" s="100" t="s">
        <v>270</v>
      </c>
      <c r="B31" s="91" t="s">
        <v>249</v>
      </c>
      <c r="C31" s="91" t="s">
        <v>245</v>
      </c>
      <c r="D31" s="91" t="s">
        <v>250</v>
      </c>
      <c r="E31" s="202" t="s">
        <v>81</v>
      </c>
      <c r="F31" s="206">
        <v>2</v>
      </c>
      <c r="G31" s="101">
        <v>3</v>
      </c>
      <c r="H31" s="101">
        <v>15</v>
      </c>
      <c r="I31" s="102">
        <f>SUM(Table146[[#This Row],[Right]]+Table146[[#This Row],[Left]]+Table146[[#This Row],[Both]])</f>
        <v>20</v>
      </c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04"/>
      <c r="BX31" s="104"/>
      <c r="BY31" s="104"/>
      <c r="BZ31" s="104"/>
      <c r="CA31" s="104"/>
      <c r="CB31" s="104"/>
      <c r="CC31" s="104"/>
      <c r="CD31" s="104"/>
      <c r="CE31" s="104"/>
      <c r="CF31" s="104"/>
      <c r="CG31" s="104"/>
      <c r="CH31" s="104"/>
      <c r="CI31" s="104"/>
      <c r="CJ31" s="104"/>
      <c r="CK31" s="104"/>
      <c r="CL31" s="104"/>
      <c r="CM31" s="104"/>
      <c r="CN31" s="104"/>
      <c r="CO31" s="104"/>
      <c r="CP31" s="104"/>
      <c r="CQ31" s="104"/>
      <c r="CR31" s="104"/>
      <c r="CS31" s="104"/>
      <c r="CT31" s="104"/>
      <c r="CU31" s="104"/>
      <c r="CV31" s="104"/>
      <c r="CW31" s="104"/>
      <c r="CX31" s="104"/>
      <c r="CY31" s="104"/>
      <c r="CZ31" s="104"/>
      <c r="DA31" s="104"/>
      <c r="DB31" s="104"/>
      <c r="DC31" s="104"/>
      <c r="DD31" s="104"/>
      <c r="DE31" s="104"/>
      <c r="DF31" s="104"/>
      <c r="DG31" s="104"/>
      <c r="DH31" s="104"/>
      <c r="DI31" s="104"/>
      <c r="DJ31" s="104"/>
      <c r="DK31" s="104"/>
      <c r="DL31" s="104"/>
      <c r="DM31" s="104"/>
      <c r="DN31" s="104"/>
      <c r="DO31" s="104"/>
      <c r="DP31" s="104"/>
      <c r="DQ31" s="104"/>
      <c r="DR31" s="104"/>
      <c r="DS31" s="104"/>
      <c r="DT31" s="104"/>
      <c r="DU31" s="104"/>
      <c r="DV31" s="104"/>
      <c r="DW31" s="104"/>
      <c r="DX31" s="104"/>
      <c r="DY31" s="104"/>
      <c r="DZ31" s="104"/>
      <c r="EA31" s="104"/>
      <c r="EB31" s="104"/>
      <c r="EC31" s="104"/>
      <c r="ED31" s="104"/>
      <c r="EE31" s="104"/>
      <c r="EF31" s="104"/>
      <c r="EG31" s="104"/>
      <c r="EH31" s="104"/>
      <c r="EI31" s="104"/>
      <c r="EJ31" s="104"/>
      <c r="EK31" s="104"/>
      <c r="EL31" s="104"/>
      <c r="EM31" s="104"/>
    </row>
    <row r="32" spans="1:143" x14ac:dyDescent="0.3">
      <c r="A32" s="85" t="s">
        <v>272</v>
      </c>
      <c r="B32" s="58" t="s">
        <v>249</v>
      </c>
      <c r="C32" s="58" t="s">
        <v>245</v>
      </c>
      <c r="D32" s="58" t="s">
        <v>250</v>
      </c>
      <c r="E32" s="72" t="s">
        <v>303</v>
      </c>
      <c r="F32" s="204">
        <v>4</v>
      </c>
      <c r="G32" s="95">
        <v>6</v>
      </c>
      <c r="H32" s="95">
        <v>10</v>
      </c>
      <c r="I32" s="96">
        <f>SUM(Table146[[#This Row],[Right]]+Table146[[#This Row],[Left]]+Table146[[#This Row],[Both]])</f>
        <v>20</v>
      </c>
      <c r="AD32" s="48"/>
    </row>
    <row r="33" spans="1:30" x14ac:dyDescent="0.3">
      <c r="A33" s="85" t="s">
        <v>272</v>
      </c>
      <c r="B33" s="58" t="s">
        <v>249</v>
      </c>
      <c r="C33" s="58" t="s">
        <v>245</v>
      </c>
      <c r="D33" s="58" t="s">
        <v>250</v>
      </c>
      <c r="E33" s="72" t="s">
        <v>336</v>
      </c>
      <c r="F33" s="204">
        <v>3</v>
      </c>
      <c r="G33" s="95">
        <v>5</v>
      </c>
      <c r="H33" s="95">
        <v>12</v>
      </c>
      <c r="I33" s="96">
        <f>SUM(Table146[[#This Row],[Right]]+Table146[[#This Row],[Left]]+Table146[[#This Row],[Both]])</f>
        <v>20</v>
      </c>
      <c r="AD33" s="48"/>
    </row>
    <row r="34" spans="1:30" x14ac:dyDescent="0.3">
      <c r="A34" s="85" t="s">
        <v>272</v>
      </c>
      <c r="B34" s="58" t="s">
        <v>249</v>
      </c>
      <c r="C34" s="58" t="s">
        <v>245</v>
      </c>
      <c r="D34" s="58" t="s">
        <v>250</v>
      </c>
      <c r="E34" s="72" t="s">
        <v>81</v>
      </c>
      <c r="F34" s="204">
        <v>4</v>
      </c>
      <c r="G34" s="95">
        <v>5</v>
      </c>
      <c r="H34" s="95">
        <v>11</v>
      </c>
      <c r="I34" s="96">
        <f>SUM(Table146[[#This Row],[Right]]+Table146[[#This Row],[Left]]+Table146[[#This Row],[Both]])</f>
        <v>20</v>
      </c>
      <c r="AD34" s="48"/>
    </row>
    <row r="35" spans="1:30" x14ac:dyDescent="0.3">
      <c r="A35" s="97" t="s">
        <v>273</v>
      </c>
      <c r="B35" s="90" t="s">
        <v>249</v>
      </c>
      <c r="C35" s="90" t="s">
        <v>245</v>
      </c>
      <c r="D35" s="90" t="s">
        <v>250</v>
      </c>
      <c r="E35" s="201" t="s">
        <v>303</v>
      </c>
      <c r="F35" s="205">
        <v>5</v>
      </c>
      <c r="G35" s="98">
        <v>5</v>
      </c>
      <c r="H35" s="98">
        <v>10</v>
      </c>
      <c r="I35" s="99">
        <f>SUM(Table146[[#This Row],[Right]]+Table146[[#This Row],[Left]]+Table146[[#This Row],[Both]])</f>
        <v>20</v>
      </c>
      <c r="AD35" s="48"/>
    </row>
    <row r="36" spans="1:30" x14ac:dyDescent="0.3">
      <c r="A36" s="85" t="s">
        <v>273</v>
      </c>
      <c r="B36" s="58" t="s">
        <v>249</v>
      </c>
      <c r="C36" s="58" t="s">
        <v>245</v>
      </c>
      <c r="D36" s="58" t="s">
        <v>250</v>
      </c>
      <c r="E36" s="72" t="s">
        <v>336</v>
      </c>
      <c r="F36" s="204">
        <v>4</v>
      </c>
      <c r="G36" s="95">
        <v>6</v>
      </c>
      <c r="H36" s="95">
        <v>10</v>
      </c>
      <c r="I36" s="96">
        <f>SUM(Table146[[#This Row],[Right]]+Table146[[#This Row],[Left]]+Table146[[#This Row],[Both]])</f>
        <v>20</v>
      </c>
      <c r="AD36" s="48"/>
    </row>
    <row r="37" spans="1:30" x14ac:dyDescent="0.3">
      <c r="A37" s="100" t="s">
        <v>273</v>
      </c>
      <c r="B37" s="91" t="s">
        <v>249</v>
      </c>
      <c r="C37" s="91" t="s">
        <v>245</v>
      </c>
      <c r="D37" s="91" t="s">
        <v>250</v>
      </c>
      <c r="E37" s="202" t="s">
        <v>81</v>
      </c>
      <c r="F37" s="206">
        <v>3</v>
      </c>
      <c r="G37" s="101">
        <v>4</v>
      </c>
      <c r="H37" s="101">
        <v>13</v>
      </c>
      <c r="I37" s="102">
        <f>SUM(Table146[[#This Row],[Right]]+Table146[[#This Row],[Left]]+Table146[[#This Row],[Both]])</f>
        <v>20</v>
      </c>
      <c r="AD37" s="48"/>
    </row>
    <row r="38" spans="1:30" x14ac:dyDescent="0.3">
      <c r="A38" s="85" t="s">
        <v>278</v>
      </c>
      <c r="B38" s="58" t="s">
        <v>249</v>
      </c>
      <c r="C38" s="58" t="s">
        <v>245</v>
      </c>
      <c r="D38" s="58" t="s">
        <v>250</v>
      </c>
      <c r="E38" s="72" t="s">
        <v>303</v>
      </c>
      <c r="F38" s="204">
        <v>4</v>
      </c>
      <c r="G38" s="95">
        <v>5</v>
      </c>
      <c r="H38" s="95">
        <v>11</v>
      </c>
      <c r="I38" s="96">
        <f>SUM(Table146[[#This Row],[Right]]+Table146[[#This Row],[Left]]+Table146[[#This Row],[Both]])</f>
        <v>20</v>
      </c>
      <c r="AD38" s="48"/>
    </row>
    <row r="39" spans="1:30" x14ac:dyDescent="0.3">
      <c r="A39" s="85" t="s">
        <v>278</v>
      </c>
      <c r="B39" s="58" t="s">
        <v>249</v>
      </c>
      <c r="C39" s="58" t="s">
        <v>245</v>
      </c>
      <c r="D39" s="58" t="s">
        <v>250</v>
      </c>
      <c r="E39" s="72" t="s">
        <v>336</v>
      </c>
      <c r="F39" s="204">
        <v>4</v>
      </c>
      <c r="G39" s="95">
        <v>5</v>
      </c>
      <c r="H39" s="95">
        <v>11</v>
      </c>
      <c r="I39" s="96">
        <f>SUM(Table146[[#This Row],[Right]]+Table146[[#This Row],[Left]]+Table146[[#This Row],[Both]])</f>
        <v>20</v>
      </c>
      <c r="AD39" s="48"/>
    </row>
    <row r="40" spans="1:30" x14ac:dyDescent="0.3">
      <c r="A40" s="85" t="s">
        <v>278</v>
      </c>
      <c r="B40" s="58" t="s">
        <v>249</v>
      </c>
      <c r="C40" s="58" t="s">
        <v>245</v>
      </c>
      <c r="D40" s="58" t="s">
        <v>250</v>
      </c>
      <c r="E40" s="72" t="s">
        <v>81</v>
      </c>
      <c r="F40" s="204">
        <v>3</v>
      </c>
      <c r="G40" s="95">
        <v>5</v>
      </c>
      <c r="H40" s="95">
        <v>12</v>
      </c>
      <c r="I40" s="96">
        <f>SUM(Table146[[#This Row],[Right]]+Table146[[#This Row],[Left]]+Table146[[#This Row],[Both]])</f>
        <v>20</v>
      </c>
      <c r="AD40" s="48"/>
    </row>
    <row r="41" spans="1:30" x14ac:dyDescent="0.3">
      <c r="A41" s="97" t="s">
        <v>253</v>
      </c>
      <c r="B41" s="90" t="s">
        <v>249</v>
      </c>
      <c r="C41" s="90" t="s">
        <v>242</v>
      </c>
      <c r="D41" s="90" t="s">
        <v>91</v>
      </c>
      <c r="E41" s="201" t="s">
        <v>303</v>
      </c>
      <c r="F41" s="205">
        <v>4</v>
      </c>
      <c r="G41" s="98">
        <v>5</v>
      </c>
      <c r="H41" s="98">
        <v>11</v>
      </c>
      <c r="I41" s="99">
        <f>SUM(Table146[[#This Row],[Right]]+Table146[[#This Row],[Left]]+Table146[[#This Row],[Both]])</f>
        <v>20</v>
      </c>
      <c r="AD41" s="48"/>
    </row>
    <row r="42" spans="1:30" x14ac:dyDescent="0.3">
      <c r="A42" s="85" t="s">
        <v>253</v>
      </c>
      <c r="B42" s="58" t="s">
        <v>249</v>
      </c>
      <c r="C42" s="58" t="s">
        <v>242</v>
      </c>
      <c r="D42" s="58" t="s">
        <v>91</v>
      </c>
      <c r="E42" s="72" t="s">
        <v>336</v>
      </c>
      <c r="F42" s="204">
        <v>1</v>
      </c>
      <c r="G42" s="95">
        <v>6</v>
      </c>
      <c r="H42" s="95">
        <v>13</v>
      </c>
      <c r="I42" s="96">
        <f>SUM(Table146[[#This Row],[Right]]+Table146[[#This Row],[Left]]+Table146[[#This Row],[Both]])</f>
        <v>20</v>
      </c>
      <c r="AD42" s="48"/>
    </row>
    <row r="43" spans="1:30" x14ac:dyDescent="0.3">
      <c r="A43" s="100" t="s">
        <v>253</v>
      </c>
      <c r="B43" s="91" t="s">
        <v>249</v>
      </c>
      <c r="C43" s="91" t="s">
        <v>242</v>
      </c>
      <c r="D43" s="91" t="s">
        <v>91</v>
      </c>
      <c r="E43" s="202" t="s">
        <v>81</v>
      </c>
      <c r="F43" s="206">
        <v>3</v>
      </c>
      <c r="G43" s="101">
        <v>5</v>
      </c>
      <c r="H43" s="101">
        <v>12</v>
      </c>
      <c r="I43" s="102">
        <f>SUM(Table146[[#This Row],[Right]]+Table146[[#This Row],[Left]]+Table146[[#This Row],[Both]])</f>
        <v>20</v>
      </c>
      <c r="AD43" s="48"/>
    </row>
    <row r="44" spans="1:30" x14ac:dyDescent="0.3">
      <c r="A44" s="85" t="s">
        <v>254</v>
      </c>
      <c r="B44" s="58" t="s">
        <v>249</v>
      </c>
      <c r="C44" s="58" t="s">
        <v>242</v>
      </c>
      <c r="D44" s="58" t="s">
        <v>91</v>
      </c>
      <c r="E44" s="72" t="s">
        <v>303</v>
      </c>
      <c r="F44" s="204">
        <v>5</v>
      </c>
      <c r="G44" s="95">
        <v>4</v>
      </c>
      <c r="H44" s="95">
        <v>11</v>
      </c>
      <c r="I44" s="96">
        <f>SUM(Table146[[#This Row],[Right]]+Table146[[#This Row],[Left]]+Table146[[#This Row],[Both]])</f>
        <v>20</v>
      </c>
      <c r="AD44" s="48"/>
    </row>
    <row r="45" spans="1:30" x14ac:dyDescent="0.3">
      <c r="A45" s="85" t="s">
        <v>254</v>
      </c>
      <c r="B45" s="58" t="s">
        <v>249</v>
      </c>
      <c r="C45" s="58" t="s">
        <v>242</v>
      </c>
      <c r="D45" s="58" t="s">
        <v>91</v>
      </c>
      <c r="E45" s="72" t="s">
        <v>336</v>
      </c>
      <c r="F45" s="204">
        <v>3</v>
      </c>
      <c r="G45" s="95">
        <v>7</v>
      </c>
      <c r="H45" s="95">
        <v>10</v>
      </c>
      <c r="I45" s="96">
        <f>SUM(Table146[[#This Row],[Right]]+Table146[[#This Row],[Left]]+Table146[[#This Row],[Both]])</f>
        <v>20</v>
      </c>
      <c r="AD45" s="48"/>
    </row>
    <row r="46" spans="1:30" x14ac:dyDescent="0.3">
      <c r="A46" s="85" t="s">
        <v>254</v>
      </c>
      <c r="B46" s="58" t="s">
        <v>249</v>
      </c>
      <c r="C46" s="58" t="s">
        <v>242</v>
      </c>
      <c r="D46" s="58" t="s">
        <v>91</v>
      </c>
      <c r="E46" s="72" t="s">
        <v>81</v>
      </c>
      <c r="F46" s="204">
        <v>3</v>
      </c>
      <c r="G46" s="95">
        <v>4</v>
      </c>
      <c r="H46" s="95">
        <v>13</v>
      </c>
      <c r="I46" s="96">
        <f>SUM(Table146[[#This Row],[Right]]+Table146[[#This Row],[Left]]+Table146[[#This Row],[Both]])</f>
        <v>20</v>
      </c>
      <c r="AD46" s="48"/>
    </row>
    <row r="47" spans="1:30" x14ac:dyDescent="0.3">
      <c r="A47" s="97" t="s">
        <v>255</v>
      </c>
      <c r="B47" s="90" t="s">
        <v>249</v>
      </c>
      <c r="C47" s="90" t="s">
        <v>242</v>
      </c>
      <c r="D47" s="90" t="s">
        <v>91</v>
      </c>
      <c r="E47" s="201" t="s">
        <v>303</v>
      </c>
      <c r="F47" s="205">
        <v>6</v>
      </c>
      <c r="G47" s="98">
        <v>5</v>
      </c>
      <c r="H47" s="98">
        <v>9</v>
      </c>
      <c r="I47" s="99">
        <f>SUM(Table146[[#This Row],[Right]]+Table146[[#This Row],[Left]]+Table146[[#This Row],[Both]])</f>
        <v>20</v>
      </c>
      <c r="AD47" s="48"/>
    </row>
    <row r="48" spans="1:30" x14ac:dyDescent="0.3">
      <c r="A48" s="85" t="s">
        <v>255</v>
      </c>
      <c r="B48" s="58" t="s">
        <v>249</v>
      </c>
      <c r="C48" s="58" t="s">
        <v>242</v>
      </c>
      <c r="D48" s="58" t="s">
        <v>91</v>
      </c>
      <c r="E48" s="72" t="s">
        <v>336</v>
      </c>
      <c r="F48" s="204">
        <v>1</v>
      </c>
      <c r="G48" s="95">
        <v>6</v>
      </c>
      <c r="H48" s="95">
        <v>13</v>
      </c>
      <c r="I48" s="96">
        <f>SUM(Table146[[#This Row],[Right]]+Table146[[#This Row],[Left]]+Table146[[#This Row],[Both]])</f>
        <v>20</v>
      </c>
      <c r="AD48" s="48"/>
    </row>
    <row r="49" spans="1:30" x14ac:dyDescent="0.3">
      <c r="A49" s="100" t="s">
        <v>255</v>
      </c>
      <c r="B49" s="91" t="s">
        <v>249</v>
      </c>
      <c r="C49" s="91" t="s">
        <v>242</v>
      </c>
      <c r="D49" s="91" t="s">
        <v>91</v>
      </c>
      <c r="E49" s="202" t="s">
        <v>81</v>
      </c>
      <c r="F49" s="206">
        <v>1</v>
      </c>
      <c r="G49" s="101">
        <v>4</v>
      </c>
      <c r="H49" s="101">
        <v>15</v>
      </c>
      <c r="I49" s="102">
        <f>SUM(Table146[[#This Row],[Right]]+Table146[[#This Row],[Left]]+Table146[[#This Row],[Both]])</f>
        <v>20</v>
      </c>
      <c r="AD49" s="48"/>
    </row>
    <row r="50" spans="1:30" x14ac:dyDescent="0.3">
      <c r="A50" s="85" t="s">
        <v>256</v>
      </c>
      <c r="B50" s="58" t="s">
        <v>249</v>
      </c>
      <c r="C50" s="58" t="s">
        <v>242</v>
      </c>
      <c r="D50" s="58" t="s">
        <v>91</v>
      </c>
      <c r="E50" s="72" t="s">
        <v>303</v>
      </c>
      <c r="F50" s="204">
        <v>4</v>
      </c>
      <c r="G50" s="95">
        <v>4</v>
      </c>
      <c r="H50" s="95">
        <v>12</v>
      </c>
      <c r="I50" s="96">
        <f>SUM(Table146[[#This Row],[Right]]+Table146[[#This Row],[Left]]+Table146[[#This Row],[Both]])</f>
        <v>20</v>
      </c>
      <c r="AD50" s="48"/>
    </row>
    <row r="51" spans="1:30" x14ac:dyDescent="0.3">
      <c r="A51" s="85" t="s">
        <v>256</v>
      </c>
      <c r="B51" s="58" t="s">
        <v>249</v>
      </c>
      <c r="C51" s="58" t="s">
        <v>242</v>
      </c>
      <c r="D51" s="58" t="s">
        <v>91</v>
      </c>
      <c r="E51" s="72" t="s">
        <v>336</v>
      </c>
      <c r="F51" s="204">
        <v>5</v>
      </c>
      <c r="G51" s="95">
        <v>5</v>
      </c>
      <c r="H51" s="95">
        <v>10</v>
      </c>
      <c r="I51" s="96">
        <f>SUM(Table146[[#This Row],[Right]]+Table146[[#This Row],[Left]]+Table146[[#This Row],[Both]])</f>
        <v>20</v>
      </c>
      <c r="AD51" s="48"/>
    </row>
    <row r="52" spans="1:30" ht="16.5" customHeight="1" x14ac:dyDescent="0.3">
      <c r="A52" s="85" t="s">
        <v>256</v>
      </c>
      <c r="B52" s="58" t="s">
        <v>249</v>
      </c>
      <c r="C52" s="58" t="s">
        <v>242</v>
      </c>
      <c r="D52" s="58" t="s">
        <v>91</v>
      </c>
      <c r="E52" s="72" t="s">
        <v>81</v>
      </c>
      <c r="F52" s="204">
        <v>4</v>
      </c>
      <c r="G52" s="95">
        <v>3</v>
      </c>
      <c r="H52" s="95">
        <v>13</v>
      </c>
      <c r="I52" s="96">
        <f>SUM(Table146[[#This Row],[Right]]+Table146[[#This Row],[Left]]+Table146[[#This Row],[Both]])</f>
        <v>20</v>
      </c>
      <c r="AD52" s="48"/>
    </row>
    <row r="53" spans="1:30" x14ac:dyDescent="0.3">
      <c r="A53" s="97" t="s">
        <v>257</v>
      </c>
      <c r="B53" s="90" t="s">
        <v>249</v>
      </c>
      <c r="C53" s="90" t="s">
        <v>242</v>
      </c>
      <c r="D53" s="90" t="s">
        <v>91</v>
      </c>
      <c r="E53" s="201" t="s">
        <v>303</v>
      </c>
      <c r="F53" s="205">
        <v>4</v>
      </c>
      <c r="G53" s="98">
        <v>6</v>
      </c>
      <c r="H53" s="98">
        <v>10</v>
      </c>
      <c r="I53" s="99">
        <f>SUM(Table146[[#This Row],[Right]]+Table146[[#This Row],[Left]]+Table146[[#This Row],[Both]])</f>
        <v>20</v>
      </c>
      <c r="AD53" s="48"/>
    </row>
    <row r="54" spans="1:30" x14ac:dyDescent="0.3">
      <c r="A54" s="85" t="s">
        <v>257</v>
      </c>
      <c r="B54" s="58" t="s">
        <v>249</v>
      </c>
      <c r="C54" s="58" t="s">
        <v>242</v>
      </c>
      <c r="D54" s="58" t="s">
        <v>91</v>
      </c>
      <c r="E54" s="72" t="s">
        <v>336</v>
      </c>
      <c r="F54" s="204">
        <v>1</v>
      </c>
      <c r="G54" s="95">
        <v>6</v>
      </c>
      <c r="H54" s="95">
        <v>13</v>
      </c>
      <c r="I54" s="96">
        <f>SUM(Table146[[#This Row],[Right]]+Table146[[#This Row],[Left]]+Table146[[#This Row],[Both]])</f>
        <v>20</v>
      </c>
      <c r="AD54" s="48"/>
    </row>
    <row r="55" spans="1:30" x14ac:dyDescent="0.3">
      <c r="A55" s="100" t="s">
        <v>257</v>
      </c>
      <c r="B55" s="91" t="s">
        <v>249</v>
      </c>
      <c r="C55" s="91" t="s">
        <v>242</v>
      </c>
      <c r="D55" s="91" t="s">
        <v>91</v>
      </c>
      <c r="E55" s="202" t="s">
        <v>81</v>
      </c>
      <c r="F55" s="206">
        <v>1</v>
      </c>
      <c r="G55" s="101">
        <v>3</v>
      </c>
      <c r="H55" s="101">
        <v>16</v>
      </c>
      <c r="I55" s="102">
        <f>SUM(Table146[[#This Row],[Right]]+Table146[[#This Row],[Left]]+Table146[[#This Row],[Both]])</f>
        <v>20</v>
      </c>
      <c r="AD55" s="48"/>
    </row>
    <row r="56" spans="1:30" x14ac:dyDescent="0.3">
      <c r="A56" s="85" t="s">
        <v>258</v>
      </c>
      <c r="B56" s="58" t="s">
        <v>249</v>
      </c>
      <c r="C56" s="58" t="s">
        <v>242</v>
      </c>
      <c r="D56" s="58" t="s">
        <v>91</v>
      </c>
      <c r="E56" s="72" t="s">
        <v>303</v>
      </c>
      <c r="F56" s="204">
        <v>5</v>
      </c>
      <c r="G56" s="95">
        <v>5</v>
      </c>
      <c r="H56" s="95">
        <v>10</v>
      </c>
      <c r="I56" s="96">
        <f>SUM(Table146[[#This Row],[Right]]+Table146[[#This Row],[Left]]+Table146[[#This Row],[Both]])</f>
        <v>20</v>
      </c>
      <c r="AD56" s="48"/>
    </row>
    <row r="57" spans="1:30" x14ac:dyDescent="0.3">
      <c r="A57" s="85" t="s">
        <v>258</v>
      </c>
      <c r="B57" s="58" t="s">
        <v>249</v>
      </c>
      <c r="C57" s="58" t="s">
        <v>242</v>
      </c>
      <c r="D57" s="58" t="s">
        <v>91</v>
      </c>
      <c r="E57" s="72" t="s">
        <v>336</v>
      </c>
      <c r="F57" s="204">
        <v>4</v>
      </c>
      <c r="G57" s="95">
        <v>5</v>
      </c>
      <c r="H57" s="95">
        <v>11</v>
      </c>
      <c r="I57" s="96">
        <f>SUM(Table146[[#This Row],[Right]]+Table146[[#This Row],[Left]]+Table146[[#This Row],[Both]])</f>
        <v>20</v>
      </c>
      <c r="AD57" s="48"/>
    </row>
    <row r="58" spans="1:30" x14ac:dyDescent="0.3">
      <c r="A58" s="85" t="s">
        <v>258</v>
      </c>
      <c r="B58" s="58" t="s">
        <v>249</v>
      </c>
      <c r="C58" s="58" t="s">
        <v>242</v>
      </c>
      <c r="D58" s="58" t="s">
        <v>91</v>
      </c>
      <c r="E58" s="72" t="s">
        <v>81</v>
      </c>
      <c r="F58" s="204">
        <v>3</v>
      </c>
      <c r="G58" s="95">
        <v>3</v>
      </c>
      <c r="H58" s="95">
        <v>14</v>
      </c>
      <c r="I58" s="96">
        <f>SUM(Table146[[#This Row],[Right]]+Table146[[#This Row],[Left]]+Table146[[#This Row],[Both]])</f>
        <v>20</v>
      </c>
      <c r="AD58" s="48"/>
    </row>
    <row r="59" spans="1:30" x14ac:dyDescent="0.3">
      <c r="A59" s="97" t="s">
        <v>265</v>
      </c>
      <c r="B59" s="90" t="s">
        <v>249</v>
      </c>
      <c r="C59" s="90" t="s">
        <v>242</v>
      </c>
      <c r="D59" s="90" t="s">
        <v>91</v>
      </c>
      <c r="E59" s="201" t="s">
        <v>303</v>
      </c>
      <c r="F59" s="205">
        <v>4</v>
      </c>
      <c r="G59" s="98">
        <v>5</v>
      </c>
      <c r="H59" s="98">
        <v>11</v>
      </c>
      <c r="I59" s="99">
        <f>SUM(Table146[[#This Row],[Right]]+Table146[[#This Row],[Left]]+Table146[[#This Row],[Both]])</f>
        <v>20</v>
      </c>
      <c r="AD59" s="48"/>
    </row>
    <row r="60" spans="1:30" x14ac:dyDescent="0.3">
      <c r="A60" s="85" t="s">
        <v>265</v>
      </c>
      <c r="B60" s="58" t="s">
        <v>249</v>
      </c>
      <c r="C60" s="58" t="s">
        <v>242</v>
      </c>
      <c r="D60" s="58" t="s">
        <v>91</v>
      </c>
      <c r="E60" s="72" t="s">
        <v>336</v>
      </c>
      <c r="F60" s="204">
        <v>2</v>
      </c>
      <c r="G60" s="95">
        <v>6</v>
      </c>
      <c r="H60" s="95">
        <v>12</v>
      </c>
      <c r="I60" s="96">
        <f>SUM(Table146[[#This Row],[Right]]+Table146[[#This Row],[Left]]+Table146[[#This Row],[Both]])</f>
        <v>20</v>
      </c>
      <c r="AD60" s="48"/>
    </row>
    <row r="61" spans="1:30" x14ac:dyDescent="0.3">
      <c r="A61" s="100" t="s">
        <v>265</v>
      </c>
      <c r="B61" s="91" t="s">
        <v>249</v>
      </c>
      <c r="C61" s="91" t="s">
        <v>242</v>
      </c>
      <c r="D61" s="91" t="s">
        <v>91</v>
      </c>
      <c r="E61" s="202" t="s">
        <v>81</v>
      </c>
      <c r="F61" s="206">
        <v>3</v>
      </c>
      <c r="G61" s="101">
        <v>5</v>
      </c>
      <c r="H61" s="101">
        <v>12</v>
      </c>
      <c r="I61" s="102">
        <f>SUM(Table146[[#This Row],[Right]]+Table146[[#This Row],[Left]]+Table146[[#This Row],[Both]])</f>
        <v>20</v>
      </c>
      <c r="AD61" s="48"/>
    </row>
    <row r="62" spans="1:30" x14ac:dyDescent="0.3">
      <c r="A62" s="85" t="s">
        <v>279</v>
      </c>
      <c r="B62" s="58" t="s">
        <v>249</v>
      </c>
      <c r="C62" s="58" t="s">
        <v>242</v>
      </c>
      <c r="D62" s="58" t="s">
        <v>250</v>
      </c>
      <c r="E62" s="72" t="s">
        <v>303</v>
      </c>
      <c r="F62" s="204">
        <v>6</v>
      </c>
      <c r="G62" s="95">
        <v>5</v>
      </c>
      <c r="H62" s="95">
        <v>9</v>
      </c>
      <c r="I62" s="96">
        <f>SUM(Table146[[#This Row],[Right]]+Table146[[#This Row],[Left]]+Table146[[#This Row],[Both]])</f>
        <v>20</v>
      </c>
      <c r="AD62" s="48"/>
    </row>
    <row r="63" spans="1:30" x14ac:dyDescent="0.3">
      <c r="A63" s="85" t="s">
        <v>279</v>
      </c>
      <c r="B63" s="58" t="s">
        <v>249</v>
      </c>
      <c r="C63" s="58" t="s">
        <v>242</v>
      </c>
      <c r="D63" s="58" t="s">
        <v>250</v>
      </c>
      <c r="E63" s="72" t="s">
        <v>336</v>
      </c>
      <c r="F63" s="204">
        <v>4</v>
      </c>
      <c r="G63" s="95">
        <v>6</v>
      </c>
      <c r="H63" s="95">
        <v>10</v>
      </c>
      <c r="I63" s="96">
        <f>SUM(Table146[[#This Row],[Right]]+Table146[[#This Row],[Left]]+Table146[[#This Row],[Both]])</f>
        <v>20</v>
      </c>
      <c r="AD63" s="48"/>
    </row>
    <row r="64" spans="1:30" x14ac:dyDescent="0.3">
      <c r="A64" s="85" t="s">
        <v>279</v>
      </c>
      <c r="B64" s="58" t="s">
        <v>249</v>
      </c>
      <c r="C64" s="58" t="s">
        <v>242</v>
      </c>
      <c r="D64" s="58" t="s">
        <v>250</v>
      </c>
      <c r="E64" s="72" t="s">
        <v>81</v>
      </c>
      <c r="F64" s="204">
        <v>3</v>
      </c>
      <c r="G64" s="95">
        <v>3</v>
      </c>
      <c r="H64" s="95">
        <v>14</v>
      </c>
      <c r="I64" s="96">
        <f>SUM(Table146[[#This Row],[Right]]+Table146[[#This Row],[Left]]+Table146[[#This Row],[Both]])</f>
        <v>20</v>
      </c>
      <c r="AD64" s="48"/>
    </row>
    <row r="65" spans="1:30" x14ac:dyDescent="0.3">
      <c r="A65" s="97" t="s">
        <v>280</v>
      </c>
      <c r="B65" s="90" t="s">
        <v>249</v>
      </c>
      <c r="C65" s="90" t="s">
        <v>242</v>
      </c>
      <c r="D65" s="90" t="s">
        <v>250</v>
      </c>
      <c r="E65" s="201" t="s">
        <v>303</v>
      </c>
      <c r="F65" s="205">
        <v>4</v>
      </c>
      <c r="G65" s="98">
        <v>5</v>
      </c>
      <c r="H65" s="98">
        <v>11</v>
      </c>
      <c r="I65" s="99">
        <f>SUM(Table146[[#This Row],[Right]]+Table146[[#This Row],[Left]]+Table146[[#This Row],[Both]])</f>
        <v>20</v>
      </c>
      <c r="AD65" s="48"/>
    </row>
    <row r="66" spans="1:30" x14ac:dyDescent="0.3">
      <c r="A66" s="85" t="s">
        <v>280</v>
      </c>
      <c r="B66" s="58" t="s">
        <v>249</v>
      </c>
      <c r="C66" s="58" t="s">
        <v>242</v>
      </c>
      <c r="D66" s="58" t="s">
        <v>250</v>
      </c>
      <c r="E66" s="72" t="s">
        <v>336</v>
      </c>
      <c r="F66" s="204">
        <v>5</v>
      </c>
      <c r="G66" s="95">
        <v>5</v>
      </c>
      <c r="H66" s="95">
        <v>10</v>
      </c>
      <c r="I66" s="96">
        <f>SUM(Table146[[#This Row],[Right]]+Table146[[#This Row],[Left]]+Table146[[#This Row],[Both]])</f>
        <v>20</v>
      </c>
      <c r="AD66" s="48"/>
    </row>
    <row r="67" spans="1:30" x14ac:dyDescent="0.3">
      <c r="A67" s="100" t="s">
        <v>280</v>
      </c>
      <c r="B67" s="91" t="s">
        <v>249</v>
      </c>
      <c r="C67" s="91" t="s">
        <v>242</v>
      </c>
      <c r="D67" s="91" t="s">
        <v>250</v>
      </c>
      <c r="E67" s="202" t="s">
        <v>81</v>
      </c>
      <c r="F67" s="206">
        <v>4</v>
      </c>
      <c r="G67" s="101">
        <v>3</v>
      </c>
      <c r="H67" s="101">
        <v>13</v>
      </c>
      <c r="I67" s="102">
        <f>SUM(Table146[[#This Row],[Right]]+Table146[[#This Row],[Left]]+Table146[[#This Row],[Both]])</f>
        <v>20</v>
      </c>
      <c r="AD67" s="48"/>
    </row>
    <row r="68" spans="1:30" x14ac:dyDescent="0.3">
      <c r="A68" s="85" t="s">
        <v>326</v>
      </c>
      <c r="B68" s="58" t="s">
        <v>251</v>
      </c>
      <c r="C68" s="58" t="s">
        <v>242</v>
      </c>
      <c r="D68" s="58" t="s">
        <v>91</v>
      </c>
      <c r="E68" s="72" t="s">
        <v>303</v>
      </c>
      <c r="F68" s="204">
        <v>3</v>
      </c>
      <c r="G68" s="95">
        <v>6</v>
      </c>
      <c r="H68" s="95">
        <v>11</v>
      </c>
      <c r="I68" s="99">
        <f>SUM(Table146[[#This Row],[Right]]+Table146[[#This Row],[Left]]+Table146[[#This Row],[Both]])</f>
        <v>20</v>
      </c>
      <c r="AD68" s="48"/>
    </row>
    <row r="69" spans="1:30" x14ac:dyDescent="0.3">
      <c r="A69" s="85" t="s">
        <v>326</v>
      </c>
      <c r="B69" s="58" t="s">
        <v>251</v>
      </c>
      <c r="C69" s="58" t="s">
        <v>242</v>
      </c>
      <c r="D69" s="58" t="s">
        <v>91</v>
      </c>
      <c r="E69" s="72" t="s">
        <v>336</v>
      </c>
      <c r="F69" s="204">
        <v>3</v>
      </c>
      <c r="G69" s="95">
        <v>6</v>
      </c>
      <c r="H69" s="95">
        <v>11</v>
      </c>
      <c r="I69" s="96">
        <f>SUM(Table146[[#This Row],[Right]]+Table146[[#This Row],[Left]]+Table146[[#This Row],[Both]])</f>
        <v>20</v>
      </c>
      <c r="AD69" s="48"/>
    </row>
    <row r="70" spans="1:30" x14ac:dyDescent="0.3">
      <c r="A70" s="85" t="s">
        <v>326</v>
      </c>
      <c r="B70" s="58" t="s">
        <v>251</v>
      </c>
      <c r="C70" s="58" t="s">
        <v>242</v>
      </c>
      <c r="D70" s="58" t="s">
        <v>91</v>
      </c>
      <c r="E70" s="72" t="s">
        <v>81</v>
      </c>
      <c r="F70" s="204">
        <v>2</v>
      </c>
      <c r="G70" s="95">
        <v>6</v>
      </c>
      <c r="H70" s="95">
        <v>12</v>
      </c>
      <c r="I70" s="102">
        <f>SUM(Table146[[#This Row],[Right]]+Table146[[#This Row],[Left]]+Table146[[#This Row],[Both]])</f>
        <v>20</v>
      </c>
      <c r="AD70" s="48"/>
    </row>
    <row r="71" spans="1:30" x14ac:dyDescent="0.3">
      <c r="A71" s="97" t="s">
        <v>327</v>
      </c>
      <c r="B71" s="90" t="s">
        <v>251</v>
      </c>
      <c r="C71" s="90" t="s">
        <v>242</v>
      </c>
      <c r="D71" s="90" t="s">
        <v>91</v>
      </c>
      <c r="E71" s="201" t="s">
        <v>303</v>
      </c>
      <c r="F71" s="205">
        <v>4</v>
      </c>
      <c r="G71" s="98">
        <v>7</v>
      </c>
      <c r="H71" s="98">
        <v>9</v>
      </c>
      <c r="I71" s="96">
        <f>SUM(Table146[[#This Row],[Right]]+Table146[[#This Row],[Left]]+Table146[[#This Row],[Both]])</f>
        <v>20</v>
      </c>
      <c r="AD71" s="48"/>
    </row>
    <row r="72" spans="1:30" x14ac:dyDescent="0.3">
      <c r="A72" s="85" t="s">
        <v>327</v>
      </c>
      <c r="B72" s="58" t="s">
        <v>251</v>
      </c>
      <c r="C72" s="58" t="s">
        <v>242</v>
      </c>
      <c r="D72" s="58" t="s">
        <v>91</v>
      </c>
      <c r="E72" s="72" t="s">
        <v>336</v>
      </c>
      <c r="F72" s="204">
        <v>0</v>
      </c>
      <c r="G72" s="95">
        <v>10</v>
      </c>
      <c r="H72" s="95">
        <v>10</v>
      </c>
      <c r="I72" s="96">
        <f>SUM(Table146[[#This Row],[Right]]+Table146[[#This Row],[Left]]+Table146[[#This Row],[Both]])</f>
        <v>20</v>
      </c>
      <c r="AD72" s="48"/>
    </row>
    <row r="73" spans="1:30" x14ac:dyDescent="0.3">
      <c r="A73" s="100" t="s">
        <v>327</v>
      </c>
      <c r="B73" s="91" t="s">
        <v>251</v>
      </c>
      <c r="C73" s="91" t="s">
        <v>242</v>
      </c>
      <c r="D73" s="91" t="s">
        <v>91</v>
      </c>
      <c r="E73" s="202" t="s">
        <v>81</v>
      </c>
      <c r="F73" s="206">
        <v>2</v>
      </c>
      <c r="G73" s="101">
        <v>5</v>
      </c>
      <c r="H73" s="101">
        <v>13</v>
      </c>
      <c r="I73" s="96">
        <f>SUM(Table146[[#This Row],[Right]]+Table146[[#This Row],[Left]]+Table146[[#This Row],[Both]])</f>
        <v>20</v>
      </c>
      <c r="AD73" s="48"/>
    </row>
    <row r="74" spans="1:30" x14ac:dyDescent="0.3">
      <c r="A74" s="85" t="s">
        <v>330</v>
      </c>
      <c r="B74" s="58" t="s">
        <v>251</v>
      </c>
      <c r="C74" s="58" t="s">
        <v>242</v>
      </c>
      <c r="D74" s="58" t="s">
        <v>91</v>
      </c>
      <c r="E74" s="72" t="s">
        <v>303</v>
      </c>
      <c r="F74" s="204">
        <v>4</v>
      </c>
      <c r="G74" s="95">
        <v>5</v>
      </c>
      <c r="H74" s="95">
        <v>11</v>
      </c>
      <c r="I74" s="99">
        <f>SUM(Table146[[#This Row],[Right]]+Table146[[#This Row],[Left]]+Table146[[#This Row],[Both]])</f>
        <v>20</v>
      </c>
      <c r="AD74" s="48"/>
    </row>
    <row r="75" spans="1:30" x14ac:dyDescent="0.3">
      <c r="A75" s="85" t="s">
        <v>330</v>
      </c>
      <c r="B75" s="58" t="s">
        <v>251</v>
      </c>
      <c r="C75" s="58" t="s">
        <v>242</v>
      </c>
      <c r="D75" s="58" t="s">
        <v>91</v>
      </c>
      <c r="E75" s="72" t="s">
        <v>336</v>
      </c>
      <c r="F75" s="204">
        <v>3</v>
      </c>
      <c r="G75" s="95">
        <v>3</v>
      </c>
      <c r="H75" s="95">
        <v>14</v>
      </c>
      <c r="I75" s="96">
        <f>SUM(Table146[[#This Row],[Right]]+Table146[[#This Row],[Left]]+Table146[[#This Row],[Both]])</f>
        <v>20</v>
      </c>
      <c r="AD75" s="48"/>
    </row>
    <row r="76" spans="1:30" x14ac:dyDescent="0.3">
      <c r="A76" s="85" t="s">
        <v>330</v>
      </c>
      <c r="B76" s="58" t="s">
        <v>251</v>
      </c>
      <c r="C76" s="58" t="s">
        <v>242</v>
      </c>
      <c r="D76" s="58" t="s">
        <v>91</v>
      </c>
      <c r="E76" s="72" t="s">
        <v>81</v>
      </c>
      <c r="F76" s="204">
        <v>4</v>
      </c>
      <c r="G76" s="95">
        <v>4</v>
      </c>
      <c r="H76" s="95">
        <v>12</v>
      </c>
      <c r="I76" s="102">
        <f>SUM(Table146[[#This Row],[Right]]+Table146[[#This Row],[Left]]+Table146[[#This Row],[Both]])</f>
        <v>20</v>
      </c>
      <c r="AD76" s="48"/>
    </row>
    <row r="77" spans="1:30" x14ac:dyDescent="0.3">
      <c r="A77" s="97" t="s">
        <v>297</v>
      </c>
      <c r="B77" s="90" t="s">
        <v>251</v>
      </c>
      <c r="C77" s="90" t="s">
        <v>242</v>
      </c>
      <c r="D77" s="90" t="s">
        <v>91</v>
      </c>
      <c r="E77" s="201" t="s">
        <v>303</v>
      </c>
      <c r="F77" s="205">
        <v>4</v>
      </c>
      <c r="G77" s="98">
        <v>6</v>
      </c>
      <c r="H77" s="98">
        <v>10</v>
      </c>
      <c r="I77" s="96">
        <f>SUM(Table146[[#This Row],[Right]]+Table146[[#This Row],[Left]]+Table146[[#This Row],[Both]])</f>
        <v>20</v>
      </c>
      <c r="AD77" s="48"/>
    </row>
    <row r="78" spans="1:30" x14ac:dyDescent="0.3">
      <c r="A78" s="85" t="s">
        <v>297</v>
      </c>
      <c r="B78" s="58" t="s">
        <v>251</v>
      </c>
      <c r="C78" s="58" t="s">
        <v>242</v>
      </c>
      <c r="D78" s="58" t="s">
        <v>91</v>
      </c>
      <c r="E78" s="72" t="s">
        <v>336</v>
      </c>
      <c r="F78" s="204">
        <v>3</v>
      </c>
      <c r="G78" s="95">
        <v>7</v>
      </c>
      <c r="H78" s="95">
        <v>10</v>
      </c>
      <c r="I78" s="96">
        <f>SUM(Table146[[#This Row],[Right]]+Table146[[#This Row],[Left]]+Table146[[#This Row],[Both]])</f>
        <v>20</v>
      </c>
      <c r="AD78" s="48"/>
    </row>
    <row r="79" spans="1:30" x14ac:dyDescent="0.3">
      <c r="A79" s="100" t="s">
        <v>297</v>
      </c>
      <c r="B79" s="91" t="s">
        <v>251</v>
      </c>
      <c r="C79" s="91" t="s">
        <v>242</v>
      </c>
      <c r="D79" s="91" t="s">
        <v>91</v>
      </c>
      <c r="E79" s="202" t="s">
        <v>81</v>
      </c>
      <c r="F79" s="206">
        <v>4</v>
      </c>
      <c r="G79" s="101">
        <v>4</v>
      </c>
      <c r="H79" s="101">
        <v>12</v>
      </c>
      <c r="I79" s="96">
        <f>SUM(Table146[[#This Row],[Right]]+Table146[[#This Row],[Left]]+Table146[[#This Row],[Both]])</f>
        <v>20</v>
      </c>
      <c r="AD79" s="48"/>
    </row>
    <row r="80" spans="1:30" x14ac:dyDescent="0.3">
      <c r="A80" s="85" t="s">
        <v>298</v>
      </c>
      <c r="B80" s="58" t="s">
        <v>251</v>
      </c>
      <c r="C80" s="58" t="s">
        <v>242</v>
      </c>
      <c r="D80" s="58" t="s">
        <v>91</v>
      </c>
      <c r="E80" s="72" t="s">
        <v>303</v>
      </c>
      <c r="F80" s="204">
        <v>4</v>
      </c>
      <c r="G80" s="95">
        <v>6</v>
      </c>
      <c r="H80" s="95">
        <v>10</v>
      </c>
      <c r="I80" s="99">
        <f>SUM(Table146[[#This Row],[Right]]+Table146[[#This Row],[Left]]+Table146[[#This Row],[Both]])</f>
        <v>20</v>
      </c>
      <c r="AD80" s="48"/>
    </row>
    <row r="81" spans="1:30" x14ac:dyDescent="0.3">
      <c r="A81" s="85" t="s">
        <v>298</v>
      </c>
      <c r="B81" s="58" t="s">
        <v>251</v>
      </c>
      <c r="C81" s="58" t="s">
        <v>242</v>
      </c>
      <c r="D81" s="58" t="s">
        <v>91</v>
      </c>
      <c r="E81" s="72" t="s">
        <v>336</v>
      </c>
      <c r="F81" s="204">
        <v>2</v>
      </c>
      <c r="G81" s="95">
        <v>7</v>
      </c>
      <c r="H81" s="95">
        <v>11</v>
      </c>
      <c r="I81" s="96">
        <f>SUM(Table146[[#This Row],[Right]]+Table146[[#This Row],[Left]]+Table146[[#This Row],[Both]])</f>
        <v>20</v>
      </c>
      <c r="AD81" s="48"/>
    </row>
    <row r="82" spans="1:30" x14ac:dyDescent="0.3">
      <c r="A82" s="85" t="s">
        <v>298</v>
      </c>
      <c r="B82" s="58" t="s">
        <v>251</v>
      </c>
      <c r="C82" s="58" t="s">
        <v>242</v>
      </c>
      <c r="D82" s="58" t="s">
        <v>91</v>
      </c>
      <c r="E82" s="72" t="s">
        <v>81</v>
      </c>
      <c r="F82" s="204">
        <v>2</v>
      </c>
      <c r="G82" s="95">
        <v>5</v>
      </c>
      <c r="H82" s="95">
        <v>13</v>
      </c>
      <c r="I82" s="102">
        <f>SUM(Table146[[#This Row],[Right]]+Table146[[#This Row],[Left]]+Table146[[#This Row],[Both]])</f>
        <v>20</v>
      </c>
      <c r="AD82" s="48"/>
    </row>
    <row r="83" spans="1:30" x14ac:dyDescent="0.3">
      <c r="A83" s="97" t="s">
        <v>299</v>
      </c>
      <c r="B83" s="90" t="s">
        <v>251</v>
      </c>
      <c r="C83" s="90" t="s">
        <v>242</v>
      </c>
      <c r="D83" s="90" t="s">
        <v>91</v>
      </c>
      <c r="E83" s="201" t="s">
        <v>303</v>
      </c>
      <c r="F83" s="205">
        <v>5</v>
      </c>
      <c r="G83" s="98">
        <v>5</v>
      </c>
      <c r="H83" s="98">
        <v>10</v>
      </c>
      <c r="I83" s="96">
        <f>SUM(Table146[[#This Row],[Right]]+Table146[[#This Row],[Left]]+Table146[[#This Row],[Both]])</f>
        <v>20</v>
      </c>
      <c r="AD83" s="48"/>
    </row>
    <row r="84" spans="1:30" x14ac:dyDescent="0.3">
      <c r="A84" s="85" t="s">
        <v>299</v>
      </c>
      <c r="B84" s="58" t="s">
        <v>251</v>
      </c>
      <c r="C84" s="58" t="s">
        <v>242</v>
      </c>
      <c r="D84" s="58" t="s">
        <v>91</v>
      </c>
      <c r="E84" s="72" t="s">
        <v>336</v>
      </c>
      <c r="F84" s="204">
        <v>1</v>
      </c>
      <c r="G84" s="95">
        <v>7</v>
      </c>
      <c r="H84" s="95">
        <v>12</v>
      </c>
      <c r="I84" s="96">
        <f>SUM(Table146[[#This Row],[Right]]+Table146[[#This Row],[Left]]+Table146[[#This Row],[Both]])</f>
        <v>20</v>
      </c>
      <c r="AD84" s="48"/>
    </row>
    <row r="85" spans="1:30" x14ac:dyDescent="0.3">
      <c r="A85" s="100" t="s">
        <v>299</v>
      </c>
      <c r="B85" s="91" t="s">
        <v>251</v>
      </c>
      <c r="C85" s="91" t="s">
        <v>242</v>
      </c>
      <c r="D85" s="91" t="s">
        <v>91</v>
      </c>
      <c r="E85" s="202" t="s">
        <v>81</v>
      </c>
      <c r="F85" s="206">
        <v>2</v>
      </c>
      <c r="G85" s="101">
        <v>6</v>
      </c>
      <c r="H85" s="101">
        <v>12</v>
      </c>
      <c r="I85" s="96">
        <f>SUM(Table146[[#This Row],[Right]]+Table146[[#This Row],[Left]]+Table146[[#This Row],[Both]])</f>
        <v>20</v>
      </c>
      <c r="AD85" s="48"/>
    </row>
    <row r="86" spans="1:30" x14ac:dyDescent="0.3">
      <c r="A86" s="85" t="s">
        <v>286</v>
      </c>
      <c r="B86" s="58" t="s">
        <v>251</v>
      </c>
      <c r="C86" s="58" t="s">
        <v>245</v>
      </c>
      <c r="D86" s="58" t="s">
        <v>91</v>
      </c>
      <c r="E86" s="72" t="s">
        <v>303</v>
      </c>
      <c r="F86" s="204">
        <v>4</v>
      </c>
      <c r="G86" s="95">
        <v>6</v>
      </c>
      <c r="H86" s="95">
        <v>10</v>
      </c>
      <c r="I86" s="99">
        <f>SUM(Table146[[#This Row],[Right]]+Table146[[#This Row],[Left]]+Table146[[#This Row],[Both]])</f>
        <v>20</v>
      </c>
      <c r="AD86" s="48"/>
    </row>
    <row r="87" spans="1:30" x14ac:dyDescent="0.3">
      <c r="A87" s="85" t="s">
        <v>286</v>
      </c>
      <c r="B87" s="58" t="s">
        <v>251</v>
      </c>
      <c r="C87" s="58" t="s">
        <v>245</v>
      </c>
      <c r="D87" s="58" t="s">
        <v>91</v>
      </c>
      <c r="E87" s="72" t="s">
        <v>336</v>
      </c>
      <c r="F87" s="204">
        <v>2</v>
      </c>
      <c r="G87" s="95">
        <v>6</v>
      </c>
      <c r="H87" s="95">
        <v>12</v>
      </c>
      <c r="I87" s="96">
        <f>SUM(Table146[[#This Row],[Right]]+Table146[[#This Row],[Left]]+Table146[[#This Row],[Both]])</f>
        <v>20</v>
      </c>
      <c r="AD87" s="48"/>
    </row>
    <row r="88" spans="1:30" x14ac:dyDescent="0.3">
      <c r="A88" s="85" t="s">
        <v>286</v>
      </c>
      <c r="B88" s="58" t="s">
        <v>251</v>
      </c>
      <c r="C88" s="58" t="s">
        <v>245</v>
      </c>
      <c r="D88" s="58" t="s">
        <v>91</v>
      </c>
      <c r="E88" s="72" t="s">
        <v>81</v>
      </c>
      <c r="F88" s="204">
        <v>2</v>
      </c>
      <c r="G88" s="95">
        <v>4</v>
      </c>
      <c r="H88" s="95">
        <v>14</v>
      </c>
      <c r="I88" s="102">
        <f>SUM(Table146[[#This Row],[Right]]+Table146[[#This Row],[Left]]+Table146[[#This Row],[Both]])</f>
        <v>20</v>
      </c>
      <c r="AD88" s="48"/>
    </row>
    <row r="89" spans="1:30" x14ac:dyDescent="0.3">
      <c r="A89" s="97" t="s">
        <v>288</v>
      </c>
      <c r="B89" s="90" t="s">
        <v>251</v>
      </c>
      <c r="C89" s="90" t="s">
        <v>245</v>
      </c>
      <c r="D89" s="90" t="s">
        <v>91</v>
      </c>
      <c r="E89" s="201" t="s">
        <v>303</v>
      </c>
      <c r="F89" s="205">
        <v>4</v>
      </c>
      <c r="G89" s="98">
        <v>6</v>
      </c>
      <c r="H89" s="98">
        <v>10</v>
      </c>
      <c r="I89" s="96">
        <f>SUM(Table146[[#This Row],[Right]]+Table146[[#This Row],[Left]]+Table146[[#This Row],[Both]])</f>
        <v>20</v>
      </c>
      <c r="AD89" s="48"/>
    </row>
    <row r="90" spans="1:30" x14ac:dyDescent="0.3">
      <c r="A90" s="85" t="s">
        <v>288</v>
      </c>
      <c r="B90" s="58" t="s">
        <v>251</v>
      </c>
      <c r="C90" s="58" t="s">
        <v>245</v>
      </c>
      <c r="D90" s="58" t="s">
        <v>91</v>
      </c>
      <c r="E90" s="72" t="s">
        <v>336</v>
      </c>
      <c r="F90" s="204">
        <v>1</v>
      </c>
      <c r="G90" s="95">
        <v>8</v>
      </c>
      <c r="H90" s="95">
        <v>11</v>
      </c>
      <c r="I90" s="96">
        <f>SUM(Table146[[#This Row],[Right]]+Table146[[#This Row],[Left]]+Table146[[#This Row],[Both]])</f>
        <v>20</v>
      </c>
      <c r="AD90" s="48"/>
    </row>
    <row r="91" spans="1:30" x14ac:dyDescent="0.3">
      <c r="A91" s="100" t="s">
        <v>288</v>
      </c>
      <c r="B91" s="91" t="s">
        <v>251</v>
      </c>
      <c r="C91" s="91" t="s">
        <v>245</v>
      </c>
      <c r="D91" s="91" t="s">
        <v>91</v>
      </c>
      <c r="E91" s="202" t="s">
        <v>81</v>
      </c>
      <c r="F91" s="206">
        <v>1</v>
      </c>
      <c r="G91" s="101">
        <v>4</v>
      </c>
      <c r="H91" s="101">
        <v>15</v>
      </c>
      <c r="I91" s="96">
        <f>SUM(Table146[[#This Row],[Right]]+Table146[[#This Row],[Left]]+Table146[[#This Row],[Both]])</f>
        <v>20</v>
      </c>
      <c r="AD91" s="48"/>
    </row>
    <row r="92" spans="1:30" x14ac:dyDescent="0.3">
      <c r="A92" s="85" t="s">
        <v>289</v>
      </c>
      <c r="B92" s="58" t="s">
        <v>251</v>
      </c>
      <c r="C92" s="58" t="s">
        <v>245</v>
      </c>
      <c r="D92" s="58" t="s">
        <v>91</v>
      </c>
      <c r="E92" s="72" t="s">
        <v>303</v>
      </c>
      <c r="F92" s="204">
        <v>4</v>
      </c>
      <c r="G92" s="95">
        <v>6</v>
      </c>
      <c r="H92" s="95">
        <v>10</v>
      </c>
      <c r="I92" s="99">
        <f>SUM(Table146[[#This Row],[Right]]+Table146[[#This Row],[Left]]+Table146[[#This Row],[Both]])</f>
        <v>20</v>
      </c>
      <c r="AD92" s="48"/>
    </row>
    <row r="93" spans="1:30" x14ac:dyDescent="0.3">
      <c r="A93" s="85" t="s">
        <v>289</v>
      </c>
      <c r="B93" s="58" t="s">
        <v>251</v>
      </c>
      <c r="C93" s="58" t="s">
        <v>245</v>
      </c>
      <c r="D93" s="58" t="s">
        <v>91</v>
      </c>
      <c r="E93" s="72" t="s">
        <v>336</v>
      </c>
      <c r="F93" s="204">
        <v>2</v>
      </c>
      <c r="G93" s="95">
        <v>6</v>
      </c>
      <c r="H93" s="95">
        <f>20-(F93+G93)</f>
        <v>12</v>
      </c>
      <c r="I93" s="96">
        <f>SUM(Table146[[#This Row],[Right]]+Table146[[#This Row],[Left]]+Table146[[#This Row],[Both]])</f>
        <v>20</v>
      </c>
      <c r="AD93" s="48"/>
    </row>
    <row r="94" spans="1:30" x14ac:dyDescent="0.3">
      <c r="A94" s="85" t="s">
        <v>289</v>
      </c>
      <c r="B94" s="58" t="s">
        <v>251</v>
      </c>
      <c r="C94" s="58" t="s">
        <v>245</v>
      </c>
      <c r="D94" s="58" t="s">
        <v>91</v>
      </c>
      <c r="E94" s="72" t="s">
        <v>81</v>
      </c>
      <c r="F94" s="204">
        <v>2</v>
      </c>
      <c r="G94" s="95">
        <v>5</v>
      </c>
      <c r="H94" s="95">
        <f>20-(F94+G94)</f>
        <v>13</v>
      </c>
      <c r="I94" s="102">
        <f>SUM(Table146[[#This Row],[Right]]+Table146[[#This Row],[Left]]+Table146[[#This Row],[Both]])</f>
        <v>20</v>
      </c>
      <c r="AD94" s="48"/>
    </row>
    <row r="95" spans="1:30" x14ac:dyDescent="0.3">
      <c r="A95" s="97" t="s">
        <v>290</v>
      </c>
      <c r="B95" s="90" t="s">
        <v>251</v>
      </c>
      <c r="C95" s="90" t="s">
        <v>245</v>
      </c>
      <c r="D95" s="90" t="s">
        <v>91</v>
      </c>
      <c r="E95" s="201" t="s">
        <v>303</v>
      </c>
      <c r="F95" s="205">
        <v>5</v>
      </c>
      <c r="G95" s="98">
        <v>5</v>
      </c>
      <c r="H95" s="98">
        <v>10</v>
      </c>
      <c r="I95" s="96">
        <f>SUM(Table146[[#This Row],[Right]]+Table146[[#This Row],[Left]]+Table146[[#This Row],[Both]])</f>
        <v>20</v>
      </c>
      <c r="AD95" s="48"/>
    </row>
    <row r="96" spans="1:30" x14ac:dyDescent="0.3">
      <c r="A96" s="85" t="s">
        <v>290</v>
      </c>
      <c r="B96" s="58" t="s">
        <v>251</v>
      </c>
      <c r="C96" s="58" t="s">
        <v>245</v>
      </c>
      <c r="D96" s="58" t="s">
        <v>91</v>
      </c>
      <c r="E96" s="72" t="s">
        <v>336</v>
      </c>
      <c r="F96" s="204">
        <v>1</v>
      </c>
      <c r="G96" s="95">
        <v>8</v>
      </c>
      <c r="H96" s="95">
        <v>11</v>
      </c>
      <c r="I96" s="96">
        <f>SUM(Table146[[#This Row],[Right]]+Table146[[#This Row],[Left]]+Table146[[#This Row],[Both]])</f>
        <v>20</v>
      </c>
      <c r="AD96" s="48"/>
    </row>
    <row r="97" spans="1:30" x14ac:dyDescent="0.3">
      <c r="A97" s="100" t="s">
        <v>290</v>
      </c>
      <c r="B97" s="91" t="s">
        <v>251</v>
      </c>
      <c r="C97" s="91" t="s">
        <v>245</v>
      </c>
      <c r="D97" s="91" t="s">
        <v>91</v>
      </c>
      <c r="E97" s="202" t="s">
        <v>81</v>
      </c>
      <c r="F97" s="206">
        <v>3</v>
      </c>
      <c r="G97" s="101">
        <v>6</v>
      </c>
      <c r="H97" s="101">
        <v>11</v>
      </c>
      <c r="I97" s="96">
        <f>SUM(Table146[[#This Row],[Right]]+Table146[[#This Row],[Left]]+Table146[[#This Row],[Both]])</f>
        <v>20</v>
      </c>
      <c r="AD97" s="48"/>
    </row>
    <row r="98" spans="1:30" x14ac:dyDescent="0.3">
      <c r="A98" s="85" t="s">
        <v>293</v>
      </c>
      <c r="B98" s="58" t="s">
        <v>251</v>
      </c>
      <c r="C98" s="58" t="s">
        <v>245</v>
      </c>
      <c r="D98" s="58" t="s">
        <v>91</v>
      </c>
      <c r="E98" s="72" t="s">
        <v>303</v>
      </c>
      <c r="F98" s="204">
        <v>4</v>
      </c>
      <c r="G98" s="95">
        <v>6</v>
      </c>
      <c r="H98" s="95">
        <v>10</v>
      </c>
      <c r="I98" s="99">
        <f>SUM(Table146[[#This Row],[Right]]+Table146[[#This Row],[Left]]+Table146[[#This Row],[Both]])</f>
        <v>20</v>
      </c>
      <c r="AD98" s="48"/>
    </row>
    <row r="99" spans="1:30" x14ac:dyDescent="0.3">
      <c r="A99" s="85" t="s">
        <v>293</v>
      </c>
      <c r="B99" s="58" t="s">
        <v>251</v>
      </c>
      <c r="C99" s="58" t="s">
        <v>245</v>
      </c>
      <c r="D99" s="58" t="s">
        <v>91</v>
      </c>
      <c r="E99" s="72" t="s">
        <v>336</v>
      </c>
      <c r="F99" s="204">
        <v>1</v>
      </c>
      <c r="G99" s="95">
        <v>8</v>
      </c>
      <c r="H99" s="95">
        <v>11</v>
      </c>
      <c r="I99" s="96">
        <f>SUM(Table146[[#This Row],[Right]]+Table146[[#This Row],[Left]]+Table146[[#This Row],[Both]])</f>
        <v>20</v>
      </c>
      <c r="AD99" s="48"/>
    </row>
    <row r="100" spans="1:30" x14ac:dyDescent="0.3">
      <c r="A100" s="85" t="s">
        <v>293</v>
      </c>
      <c r="B100" s="58" t="s">
        <v>251</v>
      </c>
      <c r="C100" s="58" t="s">
        <v>245</v>
      </c>
      <c r="D100" s="58" t="s">
        <v>91</v>
      </c>
      <c r="E100" s="72" t="s">
        <v>81</v>
      </c>
      <c r="F100" s="204">
        <v>3</v>
      </c>
      <c r="G100" s="95">
        <v>5</v>
      </c>
      <c r="H100" s="95">
        <v>12</v>
      </c>
      <c r="I100" s="102">
        <f>SUM(Table146[[#This Row],[Right]]+Table146[[#This Row],[Left]]+Table146[[#This Row],[Both]])</f>
        <v>20</v>
      </c>
      <c r="AD100" s="48"/>
    </row>
    <row r="101" spans="1:30" x14ac:dyDescent="0.3">
      <c r="A101" s="97" t="s">
        <v>294</v>
      </c>
      <c r="B101" s="90" t="s">
        <v>251</v>
      </c>
      <c r="C101" s="90" t="s">
        <v>245</v>
      </c>
      <c r="D101" s="90" t="s">
        <v>91</v>
      </c>
      <c r="E101" s="201" t="s">
        <v>303</v>
      </c>
      <c r="F101" s="205">
        <v>4</v>
      </c>
      <c r="G101" s="98">
        <v>6</v>
      </c>
      <c r="H101" s="98">
        <v>10</v>
      </c>
      <c r="I101" s="96">
        <f>SUM(Table146[[#This Row],[Right]]+Table146[[#This Row],[Left]]+Table146[[#This Row],[Both]])</f>
        <v>20</v>
      </c>
      <c r="AD101" s="48"/>
    </row>
    <row r="102" spans="1:30" x14ac:dyDescent="0.3">
      <c r="A102" s="85" t="s">
        <v>294</v>
      </c>
      <c r="B102" s="58" t="s">
        <v>251</v>
      </c>
      <c r="C102" s="58" t="s">
        <v>245</v>
      </c>
      <c r="D102" s="58" t="s">
        <v>91</v>
      </c>
      <c r="E102" s="72" t="s">
        <v>336</v>
      </c>
      <c r="F102" s="204">
        <v>2</v>
      </c>
      <c r="G102" s="95">
        <v>4</v>
      </c>
      <c r="H102" s="95">
        <v>14</v>
      </c>
      <c r="I102" s="96">
        <f>SUM(Table146[[#This Row],[Right]]+Table146[[#This Row],[Left]]+Table146[[#This Row],[Both]])</f>
        <v>20</v>
      </c>
      <c r="AD102" s="48"/>
    </row>
    <row r="103" spans="1:30" x14ac:dyDescent="0.3">
      <c r="A103" s="100" t="s">
        <v>294</v>
      </c>
      <c r="B103" s="91" t="s">
        <v>251</v>
      </c>
      <c r="C103" s="91" t="s">
        <v>245</v>
      </c>
      <c r="D103" s="91" t="s">
        <v>91</v>
      </c>
      <c r="E103" s="202" t="s">
        <v>81</v>
      </c>
      <c r="F103" s="206">
        <v>2</v>
      </c>
      <c r="G103" s="101">
        <v>5</v>
      </c>
      <c r="H103" s="101">
        <v>13</v>
      </c>
      <c r="I103" s="96">
        <f>SUM(Table146[[#This Row],[Right]]+Table146[[#This Row],[Left]]+Table146[[#This Row],[Both]])</f>
        <v>20</v>
      </c>
      <c r="AD103" s="48"/>
    </row>
    <row r="104" spans="1:30" x14ac:dyDescent="0.3">
      <c r="A104" s="85" t="s">
        <v>295</v>
      </c>
      <c r="B104" s="58" t="s">
        <v>251</v>
      </c>
      <c r="C104" s="58" t="s">
        <v>245</v>
      </c>
      <c r="D104" s="58" t="s">
        <v>91</v>
      </c>
      <c r="E104" s="72" t="s">
        <v>303</v>
      </c>
      <c r="F104" s="204">
        <v>4</v>
      </c>
      <c r="G104" s="95">
        <v>6</v>
      </c>
      <c r="H104" s="95">
        <v>10</v>
      </c>
      <c r="I104" s="99">
        <f>SUM(Table146[[#This Row],[Right]]+Table146[[#This Row],[Left]]+Table146[[#This Row],[Both]])</f>
        <v>20</v>
      </c>
      <c r="AD104" s="48"/>
    </row>
    <row r="105" spans="1:30" x14ac:dyDescent="0.3">
      <c r="A105" s="85" t="s">
        <v>295</v>
      </c>
      <c r="B105" s="58" t="s">
        <v>251</v>
      </c>
      <c r="C105" s="58" t="s">
        <v>245</v>
      </c>
      <c r="D105" s="58" t="s">
        <v>91</v>
      </c>
      <c r="E105" s="72" t="s">
        <v>336</v>
      </c>
      <c r="F105" s="204">
        <v>2</v>
      </c>
      <c r="G105" s="95">
        <v>6</v>
      </c>
      <c r="H105" s="95">
        <v>12</v>
      </c>
      <c r="I105" s="96">
        <f>SUM(Table146[[#This Row],[Right]]+Table146[[#This Row],[Left]]+Table146[[#This Row],[Both]])</f>
        <v>20</v>
      </c>
      <c r="AD105" s="48"/>
    </row>
    <row r="106" spans="1:30" x14ac:dyDescent="0.3">
      <c r="A106" s="85" t="s">
        <v>295</v>
      </c>
      <c r="B106" s="58" t="s">
        <v>251</v>
      </c>
      <c r="C106" s="58" t="s">
        <v>245</v>
      </c>
      <c r="D106" s="58" t="s">
        <v>91</v>
      </c>
      <c r="E106" s="72" t="s">
        <v>81</v>
      </c>
      <c r="F106" s="204">
        <v>4</v>
      </c>
      <c r="G106" s="95">
        <v>7</v>
      </c>
      <c r="H106" s="95">
        <v>9</v>
      </c>
      <c r="I106" s="102">
        <f>SUM(Table146[[#This Row],[Right]]+Table146[[#This Row],[Left]]+Table146[[#This Row],[Both]])</f>
        <v>20</v>
      </c>
      <c r="AD106" s="48"/>
    </row>
    <row r="107" spans="1:30" x14ac:dyDescent="0.3">
      <c r="A107" s="97" t="s">
        <v>300</v>
      </c>
      <c r="B107" s="90" t="s">
        <v>251</v>
      </c>
      <c r="C107" s="90" t="s">
        <v>245</v>
      </c>
      <c r="D107" s="90" t="s">
        <v>91</v>
      </c>
      <c r="E107" s="201" t="s">
        <v>303</v>
      </c>
      <c r="F107" s="205">
        <v>4</v>
      </c>
      <c r="G107" s="98">
        <v>6</v>
      </c>
      <c r="H107" s="98">
        <v>10</v>
      </c>
      <c r="I107" s="96">
        <f>SUM(Table146[[#This Row],[Right]]+Table146[[#This Row],[Left]]+Table146[[#This Row],[Both]])</f>
        <v>20</v>
      </c>
      <c r="AD107" s="48"/>
    </row>
    <row r="108" spans="1:30" x14ac:dyDescent="0.3">
      <c r="A108" s="85" t="s">
        <v>300</v>
      </c>
      <c r="B108" s="58" t="s">
        <v>251</v>
      </c>
      <c r="C108" s="58" t="s">
        <v>245</v>
      </c>
      <c r="D108" s="58" t="s">
        <v>91</v>
      </c>
      <c r="E108" s="72" t="s">
        <v>336</v>
      </c>
      <c r="F108" s="204">
        <v>3</v>
      </c>
      <c r="G108" s="95">
        <v>5</v>
      </c>
      <c r="H108" s="95">
        <v>12</v>
      </c>
      <c r="I108" s="96">
        <f>SUM(Table146[[#This Row],[Right]]+Table146[[#This Row],[Left]]+Table146[[#This Row],[Both]])</f>
        <v>20</v>
      </c>
      <c r="AD108" s="48"/>
    </row>
    <row r="109" spans="1:30" ht="16.2" thickBot="1" x14ac:dyDescent="0.35">
      <c r="A109" s="86" t="s">
        <v>300</v>
      </c>
      <c r="B109" s="65" t="s">
        <v>251</v>
      </c>
      <c r="C109" s="65" t="s">
        <v>245</v>
      </c>
      <c r="D109" s="65" t="s">
        <v>91</v>
      </c>
      <c r="E109" s="151" t="s">
        <v>81</v>
      </c>
      <c r="F109" s="207">
        <v>2</v>
      </c>
      <c r="G109" s="106">
        <v>6</v>
      </c>
      <c r="H109" s="106">
        <v>12</v>
      </c>
      <c r="I109" s="107">
        <f>SUM(Table146[[#This Row],[Right]]+Table146[[#This Row],[Left]]+Table146[[#This Row],[Both]])</f>
        <v>20</v>
      </c>
      <c r="AD109" s="48"/>
    </row>
    <row r="110" spans="1:30" x14ac:dyDescent="0.3">
      <c r="A110" s="103"/>
      <c r="B110" s="103"/>
      <c r="C110" s="103"/>
      <c r="D110" s="103"/>
      <c r="E110" s="103"/>
      <c r="AD110" s="48"/>
    </row>
    <row r="111" spans="1:30" x14ac:dyDescent="0.3">
      <c r="A111" s="103"/>
      <c r="B111" s="103"/>
      <c r="C111" s="103"/>
      <c r="D111" s="103"/>
      <c r="E111" s="103"/>
      <c r="AD111" s="48"/>
    </row>
    <row r="112" spans="1:30" x14ac:dyDescent="0.3">
      <c r="A112" s="103"/>
      <c r="B112" s="103"/>
      <c r="C112" s="103"/>
      <c r="D112" s="103"/>
      <c r="E112" s="103"/>
      <c r="AD112" s="48"/>
    </row>
    <row r="113" spans="1:30" x14ac:dyDescent="0.3">
      <c r="A113" s="103"/>
      <c r="B113" s="103"/>
      <c r="C113" s="103"/>
      <c r="D113" s="103"/>
      <c r="E113" s="103"/>
      <c r="AD113" s="48"/>
    </row>
    <row r="114" spans="1:30" x14ac:dyDescent="0.3">
      <c r="A114" s="103"/>
      <c r="B114" s="103"/>
      <c r="C114" s="103"/>
      <c r="D114" s="103"/>
      <c r="E114" s="103"/>
      <c r="AD114" s="48"/>
    </row>
    <row r="115" spans="1:30" ht="15" customHeight="1" x14ac:dyDescent="0.3">
      <c r="A115" s="103"/>
      <c r="B115" s="103"/>
      <c r="C115" s="103"/>
      <c r="D115" s="103"/>
      <c r="E115" s="103"/>
      <c r="AD115" s="48"/>
    </row>
    <row r="116" spans="1:30" x14ac:dyDescent="0.3">
      <c r="A116" s="103"/>
      <c r="B116" s="103"/>
      <c r="C116" s="103"/>
      <c r="D116" s="103"/>
      <c r="E116" s="103"/>
      <c r="AD116" s="48"/>
    </row>
    <row r="117" spans="1:30" x14ac:dyDescent="0.3">
      <c r="A117" s="103"/>
      <c r="B117" s="103"/>
      <c r="C117" s="103"/>
      <c r="D117" s="103"/>
      <c r="E117" s="103"/>
      <c r="AD117" s="48"/>
    </row>
    <row r="118" spans="1:30" x14ac:dyDescent="0.3">
      <c r="A118" s="103"/>
      <c r="B118" s="103"/>
      <c r="C118" s="103"/>
      <c r="D118" s="103"/>
      <c r="E118" s="103"/>
      <c r="AD118" s="48"/>
    </row>
    <row r="119" spans="1:30" x14ac:dyDescent="0.3">
      <c r="A119" s="103"/>
      <c r="B119" s="103"/>
      <c r="C119" s="103"/>
      <c r="D119" s="103"/>
      <c r="E119" s="103"/>
      <c r="AD119" s="48"/>
    </row>
    <row r="120" spans="1:30" x14ac:dyDescent="0.3">
      <c r="A120" s="48"/>
      <c r="B120" s="48"/>
      <c r="C120" s="48"/>
      <c r="D120" s="48"/>
      <c r="E120" s="48"/>
      <c r="AD120" s="48"/>
    </row>
    <row r="121" spans="1:30" x14ac:dyDescent="0.3">
      <c r="A121" s="48"/>
      <c r="B121" s="48"/>
      <c r="C121" s="48"/>
      <c r="D121" s="48"/>
      <c r="E121" s="48"/>
      <c r="AD121" s="48"/>
    </row>
    <row r="122" spans="1:30" x14ac:dyDescent="0.3">
      <c r="A122" s="48"/>
      <c r="B122" s="48"/>
      <c r="C122" s="48"/>
      <c r="D122" s="48"/>
      <c r="E122" s="48"/>
      <c r="AD122" s="48"/>
    </row>
    <row r="123" spans="1:30" x14ac:dyDescent="0.3">
      <c r="A123" s="103"/>
      <c r="B123" s="103"/>
      <c r="C123" s="103"/>
      <c r="D123" s="103"/>
      <c r="E123" s="103"/>
      <c r="AD123" s="48"/>
    </row>
    <row r="124" spans="1:30" x14ac:dyDescent="0.3">
      <c r="A124" s="103"/>
      <c r="B124" s="103"/>
      <c r="C124" s="103"/>
      <c r="D124" s="103"/>
      <c r="E124" s="103"/>
      <c r="AD124" s="48"/>
    </row>
    <row r="125" spans="1:30" x14ac:dyDescent="0.3">
      <c r="A125" s="103"/>
      <c r="B125" s="103"/>
      <c r="C125" s="103"/>
      <c r="D125" s="103"/>
      <c r="E125" s="103"/>
      <c r="AD125" s="48"/>
    </row>
    <row r="126" spans="1:30" x14ac:dyDescent="0.3">
      <c r="A126" s="103"/>
      <c r="B126" s="103"/>
      <c r="C126" s="103"/>
      <c r="D126" s="103"/>
      <c r="E126" s="103"/>
      <c r="AD126" s="48"/>
    </row>
    <row r="127" spans="1:30" x14ac:dyDescent="0.3">
      <c r="A127" s="103"/>
      <c r="B127" s="103"/>
      <c r="C127" s="103"/>
      <c r="D127" s="103"/>
      <c r="E127" s="103"/>
      <c r="AD127" s="48"/>
    </row>
    <row r="128" spans="1:30" x14ac:dyDescent="0.3">
      <c r="A128" s="103"/>
      <c r="B128" s="103"/>
      <c r="C128" s="103"/>
      <c r="D128" s="103"/>
      <c r="E128" s="103"/>
      <c r="AD128" s="48"/>
    </row>
    <row r="129" spans="1:33" x14ac:dyDescent="0.3">
      <c r="A129" s="103"/>
      <c r="B129" s="103"/>
      <c r="C129" s="103"/>
      <c r="D129" s="103"/>
      <c r="E129" s="103"/>
      <c r="AD129" s="48"/>
    </row>
    <row r="130" spans="1:33" x14ac:dyDescent="0.3">
      <c r="A130" s="103"/>
      <c r="B130" s="103"/>
      <c r="C130" s="103"/>
      <c r="D130" s="103"/>
      <c r="E130" s="103"/>
      <c r="AD130" s="48"/>
    </row>
    <row r="131" spans="1:33" x14ac:dyDescent="0.3">
      <c r="A131" s="48"/>
      <c r="B131" s="48"/>
      <c r="C131" s="48"/>
      <c r="D131" s="48"/>
      <c r="E131" s="4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47"/>
      <c r="AB131" s="47"/>
      <c r="AC131" s="47"/>
      <c r="AD131" s="109"/>
      <c r="AE131" s="110"/>
      <c r="AF131" s="103"/>
      <c r="AG131" s="103"/>
    </row>
    <row r="132" spans="1:33" x14ac:dyDescent="0.3">
      <c r="A132" s="103"/>
      <c r="B132" s="103"/>
      <c r="C132" s="103"/>
      <c r="D132" s="103"/>
      <c r="E132" s="48"/>
      <c r="F132" s="111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47"/>
      <c r="AB132" s="47"/>
      <c r="AC132" s="47"/>
      <c r="AE132" s="103"/>
      <c r="AF132" s="103"/>
      <c r="AG132" s="103"/>
    </row>
    <row r="133" spans="1:33" x14ac:dyDescent="0.3">
      <c r="A133" s="48"/>
      <c r="B133" s="48"/>
      <c r="C133" s="48"/>
      <c r="D133" s="48"/>
      <c r="E133" s="48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47"/>
      <c r="AB133" s="47"/>
      <c r="AC133" s="47"/>
      <c r="AD133" s="109"/>
      <c r="AE133" s="103"/>
      <c r="AF133" s="103"/>
      <c r="AG133" s="103"/>
    </row>
    <row r="134" spans="1:33" x14ac:dyDescent="0.3">
      <c r="A134" s="103"/>
      <c r="B134" s="103"/>
      <c r="C134" s="103"/>
      <c r="D134" s="103"/>
      <c r="E134" s="48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47"/>
      <c r="AB134" s="47"/>
      <c r="AC134" s="47"/>
      <c r="AD134" s="109"/>
      <c r="AE134" s="110"/>
      <c r="AF134" s="103"/>
      <c r="AG134" s="103"/>
    </row>
    <row r="135" spans="1:33" x14ac:dyDescent="0.3">
      <c r="A135" s="103"/>
      <c r="B135" s="103"/>
      <c r="C135" s="103"/>
      <c r="D135" s="103"/>
      <c r="E135" s="48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03"/>
      <c r="AA135" s="47"/>
      <c r="AB135" s="47"/>
      <c r="AC135" s="47"/>
      <c r="AD135" s="113"/>
      <c r="AE135" s="103"/>
      <c r="AF135" s="103"/>
      <c r="AG135" s="103"/>
    </row>
    <row r="136" spans="1:33" x14ac:dyDescent="0.3">
      <c r="A136" s="48"/>
      <c r="B136" s="48"/>
      <c r="C136" s="48"/>
      <c r="D136" s="48"/>
      <c r="E136" s="48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47"/>
      <c r="AB136" s="47"/>
      <c r="AC136" s="47"/>
      <c r="AD136" s="109"/>
      <c r="AE136" s="103"/>
      <c r="AF136" s="103"/>
      <c r="AG136" s="103"/>
    </row>
    <row r="137" spans="1:33" x14ac:dyDescent="0.3">
      <c r="A137" s="103"/>
      <c r="B137" s="103"/>
      <c r="C137" s="103"/>
      <c r="D137" s="103"/>
      <c r="E137" s="103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47"/>
      <c r="AB137" s="47"/>
      <c r="AC137" s="47"/>
      <c r="AD137" s="109"/>
      <c r="AE137" s="103"/>
      <c r="AF137" s="103"/>
      <c r="AG137" s="103"/>
    </row>
    <row r="138" spans="1:33" x14ac:dyDescent="0.3">
      <c r="A138" s="103"/>
      <c r="B138" s="103"/>
      <c r="C138" s="103"/>
      <c r="D138" s="103"/>
      <c r="E138" s="103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47"/>
      <c r="AB138" s="47"/>
      <c r="AC138" s="47"/>
      <c r="AD138" s="113"/>
      <c r="AE138" s="103"/>
      <c r="AF138" s="103"/>
      <c r="AG138" s="103"/>
    </row>
    <row r="139" spans="1:33" x14ac:dyDescent="0.3">
      <c r="A139" s="103"/>
      <c r="B139" s="103"/>
      <c r="C139" s="103"/>
      <c r="D139" s="103"/>
      <c r="E139" s="103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47"/>
      <c r="AB139" s="47"/>
      <c r="AC139" s="47"/>
      <c r="AD139" s="113"/>
      <c r="AE139" s="103"/>
      <c r="AF139" s="103"/>
      <c r="AG139" s="103"/>
    </row>
    <row r="140" spans="1:33" x14ac:dyDescent="0.3">
      <c r="A140" s="103"/>
      <c r="B140" s="103"/>
      <c r="C140" s="103"/>
      <c r="D140" s="103"/>
      <c r="E140" s="103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47"/>
      <c r="AB140" s="47"/>
      <c r="AC140" s="47"/>
      <c r="AD140" s="109"/>
      <c r="AE140" s="110"/>
      <c r="AF140" s="103"/>
      <c r="AG140" s="103"/>
    </row>
    <row r="141" spans="1:33" x14ac:dyDescent="0.3">
      <c r="A141" s="103"/>
      <c r="B141" s="103"/>
      <c r="C141" s="103"/>
      <c r="D141" s="103"/>
      <c r="E141" s="103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47"/>
      <c r="AB141" s="47"/>
      <c r="AC141" s="47"/>
      <c r="AD141" s="113"/>
      <c r="AE141" s="103"/>
      <c r="AF141" s="103"/>
      <c r="AG141" s="103"/>
    </row>
    <row r="142" spans="1:33" x14ac:dyDescent="0.3">
      <c r="A142" s="48"/>
      <c r="B142" s="48"/>
      <c r="C142" s="48"/>
      <c r="D142" s="48"/>
      <c r="E142" s="4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47"/>
      <c r="AB142" s="47"/>
      <c r="AC142" s="47"/>
      <c r="AD142" s="109"/>
      <c r="AE142" s="110"/>
      <c r="AF142" s="103"/>
      <c r="AG142" s="103"/>
    </row>
    <row r="143" spans="1:33" x14ac:dyDescent="0.3">
      <c r="A143" s="103"/>
      <c r="B143" s="103"/>
      <c r="C143" s="103"/>
      <c r="D143" s="103"/>
      <c r="E143" s="103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47"/>
      <c r="AB143" s="47"/>
      <c r="AC143" s="47"/>
      <c r="AD143" s="109"/>
      <c r="AE143" s="110"/>
    </row>
    <row r="144" spans="1:33" x14ac:dyDescent="0.3">
      <c r="A144" s="113"/>
      <c r="B144" s="113"/>
      <c r="C144" s="113"/>
      <c r="D144" s="113"/>
      <c r="E144" s="113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3"/>
      <c r="AB144" s="103"/>
      <c r="AC144" s="103"/>
      <c r="AD144" s="109"/>
      <c r="AE144" s="103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370"/>
  <sheetViews>
    <sheetView zoomScale="120" zoomScaleNormal="120" workbookViewId="0">
      <selection activeCell="L31" sqref="L31:AP31"/>
    </sheetView>
  </sheetViews>
  <sheetFormatPr defaultColWidth="11" defaultRowHeight="15.6" x14ac:dyDescent="0.3"/>
  <cols>
    <col min="1" max="1" width="16.69921875" style="30" customWidth="1"/>
    <col min="2" max="2" width="27.19921875" style="2" customWidth="1"/>
    <col min="3" max="17" width="9.796875" style="16" customWidth="1"/>
    <col min="18" max="18" width="11" style="2" customWidth="1"/>
    <col min="19" max="19" width="16.69921875" style="30" customWidth="1"/>
    <col min="20" max="20" width="12.796875" style="30" customWidth="1"/>
    <col min="21" max="21" width="26.19921875" style="8" customWidth="1"/>
    <col min="22" max="35" width="6.796875" style="2" customWidth="1"/>
    <col min="36" max="36" width="12.796875" style="31" customWidth="1"/>
    <col min="37" max="37" width="11" style="2" customWidth="1"/>
    <col min="38" max="38" width="11" style="2"/>
    <col min="39" max="39" width="23.296875" style="2" customWidth="1"/>
    <col min="40" max="40" width="12" style="2" customWidth="1"/>
    <col min="41" max="41" width="11.5" style="2" customWidth="1"/>
    <col min="42" max="42" width="12.296875" style="2" customWidth="1"/>
    <col min="43" max="43" width="12" style="2" customWidth="1"/>
    <col min="44" max="46" width="12.19921875" style="2" customWidth="1"/>
    <col min="47" max="47" width="11" style="2" customWidth="1"/>
    <col min="48" max="16384" width="11" style="2"/>
  </cols>
  <sheetData>
    <row r="1" spans="1:51" s="5" customFormat="1" ht="27" thickBot="1" x14ac:dyDescent="0.5">
      <c r="A1" s="223" t="s">
        <v>95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4"/>
      <c r="S1" s="225" t="s">
        <v>96</v>
      </c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4"/>
      <c r="AV1" s="6" t="s">
        <v>97</v>
      </c>
    </row>
    <row r="2" spans="1:51" ht="47.4" thickBot="1" x14ac:dyDescent="0.35">
      <c r="A2" s="6" t="s">
        <v>1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/>
      <c r="Q2" s="7"/>
      <c r="S2" s="6" t="s">
        <v>1</v>
      </c>
      <c r="T2" s="6" t="s">
        <v>0</v>
      </c>
      <c r="V2" s="2">
        <v>1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7</v>
      </c>
      <c r="AC2" s="2">
        <v>8</v>
      </c>
      <c r="AD2" s="2">
        <v>9</v>
      </c>
      <c r="AE2" s="2">
        <v>10</v>
      </c>
      <c r="AF2" s="2">
        <v>11</v>
      </c>
      <c r="AG2" s="2">
        <v>12</v>
      </c>
      <c r="AH2" s="2">
        <v>13</v>
      </c>
      <c r="AI2" s="2">
        <v>14</v>
      </c>
      <c r="AJ2" s="9" t="s">
        <v>6</v>
      </c>
      <c r="AK2" s="2" t="s">
        <v>6</v>
      </c>
      <c r="AM2" s="6" t="s">
        <v>1</v>
      </c>
      <c r="AN2" s="6" t="s">
        <v>98</v>
      </c>
      <c r="AO2" s="6" t="s">
        <v>99</v>
      </c>
      <c r="AP2" s="6" t="s">
        <v>100</v>
      </c>
      <c r="AQ2" s="6" t="s">
        <v>101</v>
      </c>
      <c r="AR2" s="10" t="s">
        <v>102</v>
      </c>
      <c r="AS2" s="10" t="s">
        <v>34</v>
      </c>
      <c r="AT2" s="10" t="s">
        <v>33</v>
      </c>
      <c r="AU2" s="10" t="s">
        <v>103</v>
      </c>
      <c r="AV2" s="11" t="s">
        <v>104</v>
      </c>
      <c r="AW2" s="12" t="s">
        <v>105</v>
      </c>
      <c r="AX2" s="12" t="s">
        <v>106</v>
      </c>
      <c r="AY2" s="6" t="s">
        <v>107</v>
      </c>
    </row>
    <row r="3" spans="1:51" ht="15.75" customHeight="1" thickBot="1" x14ac:dyDescent="0.35">
      <c r="A3" s="216" t="s">
        <v>108</v>
      </c>
      <c r="B3" s="13" t="s">
        <v>98</v>
      </c>
      <c r="C3" s="14">
        <v>0</v>
      </c>
      <c r="D3" s="14">
        <v>0</v>
      </c>
      <c r="E3" s="14">
        <v>0.14199999999999999</v>
      </c>
      <c r="F3" s="14">
        <v>0.48099999999999998</v>
      </c>
      <c r="G3" s="14">
        <v>1.2370000000000001</v>
      </c>
      <c r="H3" s="14">
        <v>2.8980000000000001</v>
      </c>
      <c r="I3" s="14">
        <v>3.6619999999999999</v>
      </c>
      <c r="J3" s="14">
        <v>1.786</v>
      </c>
      <c r="K3" s="14">
        <v>0.90600000000000003</v>
      </c>
      <c r="L3" s="14">
        <v>0.72699999999999998</v>
      </c>
      <c r="M3" s="14">
        <v>0.314</v>
      </c>
      <c r="N3" s="14">
        <v>0.31900000000000001</v>
      </c>
      <c r="O3" s="14"/>
      <c r="P3" s="15" t="s">
        <v>109</v>
      </c>
      <c r="Q3" s="16">
        <f>COUNTIF(C3:N3, "&gt;0" )</f>
        <v>10</v>
      </c>
      <c r="S3" s="216" t="s">
        <v>108</v>
      </c>
      <c r="T3" s="216" t="s">
        <v>2</v>
      </c>
      <c r="U3" s="17" t="s">
        <v>98</v>
      </c>
      <c r="V3" s="18">
        <f t="shared" ref="V3:AH3" si="0">C3*C10</f>
        <v>0</v>
      </c>
      <c r="W3" s="18">
        <f t="shared" si="0"/>
        <v>0</v>
      </c>
      <c r="X3" s="18">
        <f t="shared" si="0"/>
        <v>6.8159999999999984E-2</v>
      </c>
      <c r="Y3" s="18">
        <f t="shared" si="0"/>
        <v>0.25974000000000003</v>
      </c>
      <c r="Z3" s="18">
        <f t="shared" si="0"/>
        <v>0.56902000000000008</v>
      </c>
      <c r="AA3" s="18">
        <f t="shared" si="0"/>
        <v>1.4490000000000001</v>
      </c>
      <c r="AB3" s="18">
        <f t="shared" si="0"/>
        <v>1.831</v>
      </c>
      <c r="AC3" s="18">
        <f t="shared" si="0"/>
        <v>0.96444000000000007</v>
      </c>
      <c r="AD3" s="18">
        <f t="shared" si="0"/>
        <v>0.43487999999999999</v>
      </c>
      <c r="AE3" s="18">
        <f t="shared" si="0"/>
        <v>0.37803999999999999</v>
      </c>
      <c r="AF3" s="18">
        <f t="shared" si="0"/>
        <v>0.157</v>
      </c>
      <c r="AG3" s="18">
        <f t="shared" si="0"/>
        <v>0.14674000000000001</v>
      </c>
      <c r="AH3" s="18">
        <f t="shared" si="0"/>
        <v>0</v>
      </c>
      <c r="AI3" s="18">
        <f t="shared" ref="AI3" si="1">R3*R10</f>
        <v>0</v>
      </c>
      <c r="AJ3" s="19">
        <f>SUM(V3:AI3)</f>
        <v>6.258020000000001</v>
      </c>
      <c r="AK3" s="2">
        <v>6.258020000000001</v>
      </c>
      <c r="AM3" s="20" t="s">
        <v>35</v>
      </c>
      <c r="AN3" s="21">
        <v>6.258020000000001</v>
      </c>
      <c r="AO3" s="15">
        <v>126.51227999999999</v>
      </c>
      <c r="AP3" s="15">
        <v>123.35354</v>
      </c>
      <c r="AQ3" s="2">
        <v>117.09552000000001</v>
      </c>
      <c r="AR3" s="21">
        <f>(Table1[[#This Row],[Ipsilateral Hemisphere]]-Table1[[#This Row],[Contralateral Hemisphere]])/Table1[[#This Row],[Contralateral Hemisphere]]*100</f>
        <v>-2.496785292305217</v>
      </c>
      <c r="AS3" s="21">
        <f>(Table1[[#This Row],[Contralateral Hemisphere]]-Table1[[#This Row],[Ipsilateral Hemisphere]])/Table1[[#This Row],[Contralateral Hemisphere]]*100</f>
        <v>2.496785292305217</v>
      </c>
      <c r="AT3" s="21" t="str">
        <f>IF(Table1[[#This Row],[Oedema if + contraction if -]]&gt;0,"Oedema","Contraction")</f>
        <v>Contraction</v>
      </c>
      <c r="AU3" s="21">
        <f>Table1[[#This Row],[Contralateral Hemisphere]]-Table1[[#This Row],[Ipsilateral Hemisphere]]</f>
        <v>3.1587399999999946</v>
      </c>
      <c r="AV3" s="7">
        <v>10</v>
      </c>
      <c r="AW3" s="7">
        <v>9</v>
      </c>
      <c r="AX3" s="7">
        <f>Table1[[#This Row],['#sections of lesion]]-Table1[[#This Row],[cortex]]</f>
        <v>1</v>
      </c>
      <c r="AY3" s="7">
        <v>12</v>
      </c>
    </row>
    <row r="4" spans="1:51" ht="16.2" thickBot="1" x14ac:dyDescent="0.35">
      <c r="A4" s="217"/>
      <c r="B4" s="2" t="s">
        <v>110</v>
      </c>
      <c r="C4" s="15"/>
      <c r="D4" s="15"/>
      <c r="E4" s="15" t="s">
        <v>111</v>
      </c>
      <c r="F4" s="15" t="s">
        <v>111</v>
      </c>
      <c r="G4" s="15" t="s">
        <v>111</v>
      </c>
      <c r="H4" s="15" t="s">
        <v>111</v>
      </c>
      <c r="I4" s="15" t="s">
        <v>112</v>
      </c>
      <c r="J4" s="15" t="s">
        <v>111</v>
      </c>
      <c r="K4" s="15" t="s">
        <v>111</v>
      </c>
      <c r="L4" s="15" t="s">
        <v>111</v>
      </c>
      <c r="M4" s="15" t="s">
        <v>111</v>
      </c>
      <c r="N4" s="15" t="s">
        <v>111</v>
      </c>
      <c r="O4" s="15"/>
      <c r="P4" s="15" t="s">
        <v>105</v>
      </c>
      <c r="Q4" s="15">
        <f>COUNTIF(C4:N4,"Cortex")</f>
        <v>9</v>
      </c>
      <c r="S4" s="217"/>
      <c r="T4" s="217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3"/>
      <c r="AM4" s="20" t="s">
        <v>36</v>
      </c>
      <c r="AN4" s="21">
        <v>6.5091799999999997</v>
      </c>
      <c r="AO4" s="15">
        <v>113.64098</v>
      </c>
      <c r="AP4" s="15">
        <v>113.38164000000002</v>
      </c>
      <c r="AQ4" s="2">
        <v>106.87246</v>
      </c>
      <c r="AR4" s="15">
        <f>(Table1[[#This Row],[Ipsilateral Hemisphere]]-Table1[[#This Row],[Contralateral Hemisphere]])/Table1[[#This Row],[Contralateral Hemisphere]]*100</f>
        <v>-0.22820992919981892</v>
      </c>
      <c r="AS4" s="15">
        <f>(Table1[[#This Row],[Contralateral Hemisphere]]-Table1[[#This Row],[Ipsilateral Hemisphere]])/Table1[[#This Row],[Contralateral Hemisphere]]*100</f>
        <v>0.22820992919981892</v>
      </c>
      <c r="AT4" s="15" t="str">
        <f>IF(Table1[[#This Row],[Oedema if + contraction if -]]&gt;0,"Oedema","Contraction")</f>
        <v>Contraction</v>
      </c>
      <c r="AU4" s="15">
        <f>Table1[[#This Row],[Contralateral Hemisphere]]-Table1[[#This Row],[Ipsilateral Hemisphere]]</f>
        <v>0.25933999999998036</v>
      </c>
      <c r="AV4" s="7">
        <v>8</v>
      </c>
      <c r="AW4" s="7">
        <v>7</v>
      </c>
      <c r="AX4" s="7">
        <f>Table1[[#This Row],['#sections of lesion]]-Table1[[#This Row],[cortex]]</f>
        <v>1</v>
      </c>
      <c r="AY4" s="7">
        <v>11</v>
      </c>
    </row>
    <row r="5" spans="1:51" ht="16.05" customHeight="1" thickBot="1" x14ac:dyDescent="0.35">
      <c r="A5" s="217"/>
      <c r="B5" s="2" t="s">
        <v>99</v>
      </c>
      <c r="C5" s="15">
        <v>11.167999999999999</v>
      </c>
      <c r="D5" s="15">
        <v>15.154999999999999</v>
      </c>
      <c r="E5" s="15">
        <v>16.8</v>
      </c>
      <c r="F5" s="15">
        <v>18.645</v>
      </c>
      <c r="G5" s="15">
        <v>20.655999999999999</v>
      </c>
      <c r="H5" s="15">
        <v>22.312000000000001</v>
      </c>
      <c r="I5" s="15">
        <v>23.648</v>
      </c>
      <c r="J5" s="15">
        <v>25.130000000000003</v>
      </c>
      <c r="K5" s="15">
        <v>25.428000000000001</v>
      </c>
      <c r="L5" s="15">
        <v>24.710999999999999</v>
      </c>
      <c r="M5" s="15">
        <v>23.599</v>
      </c>
      <c r="N5" s="15">
        <v>26.106000000000002</v>
      </c>
      <c r="O5" s="15"/>
      <c r="P5" s="15" t="s">
        <v>106</v>
      </c>
      <c r="Q5" s="15">
        <f>Q3-Q4</f>
        <v>1</v>
      </c>
      <c r="S5" s="217"/>
      <c r="T5" s="217"/>
      <c r="U5" s="8" t="s">
        <v>99</v>
      </c>
      <c r="V5" s="15">
        <f t="shared" ref="V5:AH5" si="2">C5*C10</f>
        <v>5.5839999999999996</v>
      </c>
      <c r="W5" s="15">
        <f t="shared" si="2"/>
        <v>7.8806000000000003</v>
      </c>
      <c r="X5" s="15">
        <f t="shared" si="2"/>
        <v>8.0640000000000001</v>
      </c>
      <c r="Y5" s="15">
        <f t="shared" si="2"/>
        <v>10.068300000000001</v>
      </c>
      <c r="Z5" s="15">
        <f t="shared" si="2"/>
        <v>9.5017599999999991</v>
      </c>
      <c r="AA5" s="15">
        <f t="shared" si="2"/>
        <v>11.156000000000001</v>
      </c>
      <c r="AB5" s="15">
        <f t="shared" si="2"/>
        <v>11.824</v>
      </c>
      <c r="AC5" s="15">
        <f t="shared" si="2"/>
        <v>13.570200000000002</v>
      </c>
      <c r="AD5" s="15">
        <f t="shared" si="2"/>
        <v>12.205439999999999</v>
      </c>
      <c r="AE5" s="15">
        <f t="shared" si="2"/>
        <v>12.84972</v>
      </c>
      <c r="AF5" s="15">
        <f t="shared" si="2"/>
        <v>11.7995</v>
      </c>
      <c r="AG5" s="15">
        <f t="shared" si="2"/>
        <v>12.008760000000001</v>
      </c>
      <c r="AH5" s="15">
        <f t="shared" si="2"/>
        <v>0</v>
      </c>
      <c r="AI5" s="15">
        <f t="shared" ref="AI5" si="3">R5*R10</f>
        <v>0</v>
      </c>
      <c r="AJ5" s="23">
        <f>SUM(V5:AI5)</f>
        <v>126.51227999999999</v>
      </c>
      <c r="AK5" s="2">
        <v>126.51227999999999</v>
      </c>
      <c r="AM5" s="20" t="s">
        <v>39</v>
      </c>
      <c r="AN5" s="21">
        <v>2.645</v>
      </c>
      <c r="AO5" s="15">
        <v>132.38200000000001</v>
      </c>
      <c r="AP5" s="15">
        <v>128.7705</v>
      </c>
      <c r="AQ5" s="2">
        <v>126.12550000000002</v>
      </c>
      <c r="AR5" s="15">
        <f>(Table1[[#This Row],[Ipsilateral Hemisphere]]-Table1[[#This Row],[Contralateral Hemisphere]])/Table1[[#This Row],[Contralateral Hemisphere]]*100</f>
        <v>-2.7280899215905534</v>
      </c>
      <c r="AS5" s="15">
        <f>(Table1[[#This Row],[Contralateral Hemisphere]]-Table1[[#This Row],[Ipsilateral Hemisphere]])/Table1[[#This Row],[Contralateral Hemisphere]]*100</f>
        <v>2.7280899215905534</v>
      </c>
      <c r="AT5" s="15" t="str">
        <f>IF(Table1[[#This Row],[Oedema if + contraction if -]]&gt;0,"Oedema","Contraction")</f>
        <v>Contraction</v>
      </c>
      <c r="AU5" s="15">
        <f>Table1[[#This Row],[Contralateral Hemisphere]]-Table1[[#This Row],[Ipsilateral Hemisphere]]</f>
        <v>3.6115000000000066</v>
      </c>
      <c r="AV5" s="7">
        <v>9</v>
      </c>
      <c r="AW5" s="7">
        <v>9</v>
      </c>
      <c r="AX5" s="7">
        <f>Table1[[#This Row],['#sections of lesion]]-Table1[[#This Row],[cortex]]</f>
        <v>0</v>
      </c>
      <c r="AY5" s="7">
        <v>12</v>
      </c>
    </row>
    <row r="6" spans="1:51" ht="16.2" thickBot="1" x14ac:dyDescent="0.35">
      <c r="A6" s="217"/>
      <c r="B6" s="2" t="s">
        <v>100</v>
      </c>
      <c r="C6" s="15">
        <v>10.542999999999999</v>
      </c>
      <c r="D6" s="15">
        <v>14.497999999999999</v>
      </c>
      <c r="E6" s="15">
        <v>16.024999999999999</v>
      </c>
      <c r="F6" s="15">
        <v>17.358000000000001</v>
      </c>
      <c r="G6" s="15">
        <v>19.343</v>
      </c>
      <c r="H6" s="15">
        <v>20.692</v>
      </c>
      <c r="I6" s="15">
        <v>22.585999999999999</v>
      </c>
      <c r="J6" s="15">
        <v>24.367000000000001</v>
      </c>
      <c r="K6" s="15">
        <v>25.27</v>
      </c>
      <c r="L6" s="15">
        <v>24.879000000000001</v>
      </c>
      <c r="M6" s="15">
        <v>23.905000000000001</v>
      </c>
      <c r="N6" s="15">
        <v>27.747</v>
      </c>
      <c r="O6" s="15"/>
      <c r="P6" s="15" t="s">
        <v>113</v>
      </c>
      <c r="Q6" s="16">
        <f>COUNTIF(C3:O3, "&gt;=0" )</f>
        <v>12</v>
      </c>
      <c r="S6" s="217"/>
      <c r="T6" s="217"/>
      <c r="U6" s="8" t="s">
        <v>100</v>
      </c>
      <c r="V6" s="15">
        <f t="shared" ref="V6:AH6" si="4">C6*C10</f>
        <v>5.2714999999999996</v>
      </c>
      <c r="W6" s="15">
        <f t="shared" si="4"/>
        <v>7.5389600000000003</v>
      </c>
      <c r="X6" s="15">
        <f t="shared" si="4"/>
        <v>7.6919999999999993</v>
      </c>
      <c r="Y6" s="15">
        <f t="shared" si="4"/>
        <v>9.3733200000000014</v>
      </c>
      <c r="Z6" s="15">
        <f t="shared" si="4"/>
        <v>8.8977800000000009</v>
      </c>
      <c r="AA6" s="15">
        <f t="shared" si="4"/>
        <v>10.346</v>
      </c>
      <c r="AB6" s="15">
        <f t="shared" si="4"/>
        <v>11.292999999999999</v>
      </c>
      <c r="AC6" s="15">
        <f t="shared" si="4"/>
        <v>13.158180000000002</v>
      </c>
      <c r="AD6" s="15">
        <f t="shared" si="4"/>
        <v>12.1296</v>
      </c>
      <c r="AE6" s="15">
        <f t="shared" si="4"/>
        <v>12.937080000000002</v>
      </c>
      <c r="AF6" s="15">
        <f t="shared" si="4"/>
        <v>11.952500000000001</v>
      </c>
      <c r="AG6" s="15">
        <f t="shared" si="4"/>
        <v>12.763620000000001</v>
      </c>
      <c r="AH6" s="15">
        <f t="shared" si="4"/>
        <v>0</v>
      </c>
      <c r="AI6" s="15">
        <f t="shared" ref="AI6" si="5">R6*R10</f>
        <v>0</v>
      </c>
      <c r="AJ6" s="23">
        <f>SUM(V6:AI6)</f>
        <v>123.35354</v>
      </c>
      <c r="AK6" s="2">
        <v>123.35354</v>
      </c>
      <c r="AM6" s="20" t="s">
        <v>40</v>
      </c>
      <c r="AN6" s="21">
        <v>11.36408</v>
      </c>
      <c r="AO6" s="15">
        <v>102.15505999999999</v>
      </c>
      <c r="AP6" s="15">
        <v>108.10695999999999</v>
      </c>
      <c r="AQ6" s="2">
        <v>96.742879999999985</v>
      </c>
      <c r="AR6" s="15">
        <f>(Table1[[#This Row],[Ipsilateral Hemisphere]]-Table1[[#This Row],[Contralateral Hemisphere]])/Table1[[#This Row],[Contralateral Hemisphere]]*100</f>
        <v>5.8263389008826341</v>
      </c>
      <c r="AS6" s="15">
        <f>(Table1[[#This Row],[Contralateral Hemisphere]]-Table1[[#This Row],[Ipsilateral Hemisphere]])/Table1[[#This Row],[Contralateral Hemisphere]]*100</f>
        <v>-5.8263389008826341</v>
      </c>
      <c r="AT6" s="15" t="str">
        <f>IF(Table1[[#This Row],[Oedema if + contraction if -]]&gt;0,"Oedema","Contraction")</f>
        <v>Oedema</v>
      </c>
      <c r="AU6" s="15">
        <f>Table1[[#This Row],[Contralateral Hemisphere]]-Table1[[#This Row],[Ipsilateral Hemisphere]]</f>
        <v>-5.9518999999999949</v>
      </c>
      <c r="AV6" s="7">
        <v>10</v>
      </c>
      <c r="AW6" s="7">
        <v>5</v>
      </c>
      <c r="AX6" s="7">
        <f>Table1[[#This Row],['#sections of lesion]]-Table1[[#This Row],[cortex]]</f>
        <v>5</v>
      </c>
      <c r="AY6" s="7">
        <v>12</v>
      </c>
    </row>
    <row r="7" spans="1:51" ht="16.2" thickBot="1" x14ac:dyDescent="0.35">
      <c r="A7" s="217"/>
      <c r="B7" s="2" t="s">
        <v>114</v>
      </c>
      <c r="C7" s="15">
        <v>10.542999999999999</v>
      </c>
      <c r="D7" s="15">
        <v>14.497999999999999</v>
      </c>
      <c r="E7" s="15">
        <v>15.882999999999999</v>
      </c>
      <c r="F7" s="15">
        <v>16.876999999999999</v>
      </c>
      <c r="G7" s="15">
        <v>18.106000000000002</v>
      </c>
      <c r="H7" s="15">
        <v>17.794</v>
      </c>
      <c r="I7" s="15">
        <v>18.923999999999999</v>
      </c>
      <c r="J7" s="15">
        <v>22.581</v>
      </c>
      <c r="K7" s="15">
        <v>24.364000000000001</v>
      </c>
      <c r="L7" s="15">
        <v>24.152000000000001</v>
      </c>
      <c r="M7" s="15">
        <v>23.591000000000001</v>
      </c>
      <c r="N7" s="15">
        <v>27.428000000000001</v>
      </c>
      <c r="O7" s="15"/>
      <c r="P7" s="15"/>
      <c r="Q7" s="15"/>
      <c r="S7" s="217"/>
      <c r="T7" s="217"/>
      <c r="U7" s="8" t="s">
        <v>101</v>
      </c>
      <c r="V7" s="15">
        <f t="shared" ref="V7:AH7" si="6">C7*C10</f>
        <v>5.2714999999999996</v>
      </c>
      <c r="W7" s="15">
        <f t="shared" si="6"/>
        <v>7.5389600000000003</v>
      </c>
      <c r="X7" s="15">
        <f t="shared" si="6"/>
        <v>7.6238399999999995</v>
      </c>
      <c r="Y7" s="15">
        <f t="shared" si="6"/>
        <v>9.1135800000000007</v>
      </c>
      <c r="Z7" s="15">
        <f t="shared" si="6"/>
        <v>8.3287600000000008</v>
      </c>
      <c r="AA7" s="15">
        <f t="shared" si="6"/>
        <v>8.8970000000000002</v>
      </c>
      <c r="AB7" s="15">
        <f t="shared" si="6"/>
        <v>9.4619999999999997</v>
      </c>
      <c r="AC7" s="15">
        <f t="shared" si="6"/>
        <v>12.19374</v>
      </c>
      <c r="AD7" s="15">
        <f t="shared" si="6"/>
        <v>11.69472</v>
      </c>
      <c r="AE7" s="15">
        <f t="shared" si="6"/>
        <v>12.559040000000001</v>
      </c>
      <c r="AF7" s="15">
        <f t="shared" si="6"/>
        <v>11.795500000000001</v>
      </c>
      <c r="AG7" s="15">
        <f t="shared" si="6"/>
        <v>12.61688</v>
      </c>
      <c r="AH7" s="15">
        <f t="shared" si="6"/>
        <v>0</v>
      </c>
      <c r="AI7" s="15">
        <f t="shared" ref="AI7" si="7">R7*R10</f>
        <v>0</v>
      </c>
      <c r="AJ7" s="23">
        <f>SUM(V7:AI7)</f>
        <v>117.09552000000001</v>
      </c>
      <c r="AK7" s="2">
        <v>117.09552000000001</v>
      </c>
      <c r="AM7" s="20" t="s">
        <v>41</v>
      </c>
      <c r="AN7" s="21">
        <v>11.004960000000001</v>
      </c>
      <c r="AO7" s="15">
        <v>126.82928</v>
      </c>
      <c r="AP7" s="15">
        <v>125.84602</v>
      </c>
      <c r="AQ7" s="2">
        <v>114.84106</v>
      </c>
      <c r="AR7" s="15">
        <f>(Table1[[#This Row],[Ipsilateral Hemisphere]]-Table1[[#This Row],[Contralateral Hemisphere]])/Table1[[#This Row],[Contralateral Hemisphere]]*100</f>
        <v>-0.77526262074498997</v>
      </c>
      <c r="AS7" s="15">
        <f>(Table1[[#This Row],[Contralateral Hemisphere]]-Table1[[#This Row],[Ipsilateral Hemisphere]])/Table1[[#This Row],[Contralateral Hemisphere]]*100</f>
        <v>0.77526262074498997</v>
      </c>
      <c r="AT7" s="15" t="str">
        <f>IF(Table1[[#This Row],[Oedema if + contraction if -]]&gt;0,"Oedema","Contraction")</f>
        <v>Contraction</v>
      </c>
      <c r="AU7" s="15">
        <f>Table1[[#This Row],[Contralateral Hemisphere]]-Table1[[#This Row],[Ipsilateral Hemisphere]]</f>
        <v>0.98326000000000136</v>
      </c>
      <c r="AV7" s="7">
        <v>9</v>
      </c>
      <c r="AW7" s="7">
        <v>9</v>
      </c>
      <c r="AX7" s="7">
        <f>Table1[[#This Row],['#sections of lesion]]-Table1[[#This Row],[cortex]]</f>
        <v>0</v>
      </c>
      <c r="AY7" s="7">
        <v>12</v>
      </c>
    </row>
    <row r="8" spans="1:51" ht="16.2" thickBot="1" x14ac:dyDescent="0.35">
      <c r="A8" s="21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S8" s="217"/>
      <c r="T8" s="6"/>
      <c r="U8" s="24" t="s">
        <v>115</v>
      </c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19">
        <f>(AJ5-AJ6)/AJ5*100</f>
        <v>2.496785292305217</v>
      </c>
      <c r="AK8" s="2">
        <v>2.496785292305217</v>
      </c>
      <c r="AM8" s="20" t="s">
        <v>37</v>
      </c>
      <c r="AN8" s="21">
        <v>12.41356</v>
      </c>
      <c r="AO8" s="15">
        <v>111.25727999999999</v>
      </c>
      <c r="AP8" s="15">
        <v>107.38708000000001</v>
      </c>
      <c r="AQ8" s="2">
        <v>94.973520000000008</v>
      </c>
      <c r="AR8" s="15">
        <f>(Table1[[#This Row],[Ipsilateral Hemisphere]]-Table1[[#This Row],[Contralateral Hemisphere]])/Table1[[#This Row],[Contralateral Hemisphere]]*100</f>
        <v>-3.4786038270933668</v>
      </c>
      <c r="AS8" s="15">
        <f>(Table1[[#This Row],[Contralateral Hemisphere]]-Table1[[#This Row],[Ipsilateral Hemisphere]])/Table1[[#This Row],[Contralateral Hemisphere]]*100</f>
        <v>3.4786038270933668</v>
      </c>
      <c r="AT8" s="15" t="str">
        <f>IF(Table1[[#This Row],[Oedema if + contraction if -]]&gt;0,"Oedema","Contraction")</f>
        <v>Contraction</v>
      </c>
      <c r="AU8" s="15">
        <f>Table1[[#This Row],[Contralateral Hemisphere]]-Table1[[#This Row],[Ipsilateral Hemisphere]]</f>
        <v>3.8701999999999828</v>
      </c>
      <c r="AV8" s="7">
        <v>10</v>
      </c>
      <c r="AW8" s="7">
        <v>6</v>
      </c>
      <c r="AX8" s="7">
        <f>Table1[[#This Row],['#sections of lesion]]-Table1[[#This Row],[cortex]]</f>
        <v>4</v>
      </c>
      <c r="AY8" s="7">
        <v>10</v>
      </c>
    </row>
    <row r="9" spans="1:51" ht="16.2" thickBot="1" x14ac:dyDescent="0.35">
      <c r="A9" s="21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S9" s="217"/>
      <c r="T9" s="6"/>
      <c r="U9" s="24" t="s">
        <v>103</v>
      </c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19">
        <f>AJ5-AJ7</f>
        <v>9.4167599999999823</v>
      </c>
      <c r="AK9" s="2">
        <v>9.4167599999999823</v>
      </c>
      <c r="AM9" s="20" t="s">
        <v>38</v>
      </c>
      <c r="AN9" s="21">
        <v>13.10398</v>
      </c>
      <c r="AO9" s="15">
        <v>122.54918000000001</v>
      </c>
      <c r="AP9" s="15">
        <v>117.56004</v>
      </c>
      <c r="AQ9" s="2">
        <v>104.45606000000002</v>
      </c>
      <c r="AR9" s="15">
        <f>(Table1[[#This Row],[Ipsilateral Hemisphere]]-Table1[[#This Row],[Contralateral Hemisphere]])/Table1[[#This Row],[Contralateral Hemisphere]]*100</f>
        <v>-4.07113291170125</v>
      </c>
      <c r="AS9" s="15">
        <f>(Table1[[#This Row],[Contralateral Hemisphere]]-Table1[[#This Row],[Ipsilateral Hemisphere]])/Table1[[#This Row],[Contralateral Hemisphere]]*100</f>
        <v>4.07113291170125</v>
      </c>
      <c r="AT9" s="15" t="str">
        <f>IF(Table1[[#This Row],[Oedema if + contraction if -]]&gt;0,"Oedema","Contraction")</f>
        <v>Contraction</v>
      </c>
      <c r="AU9" s="15">
        <f>Table1[[#This Row],[Contralateral Hemisphere]]-Table1[[#This Row],[Ipsilateral Hemisphere]]</f>
        <v>4.9891400000000061</v>
      </c>
      <c r="AV9" s="7">
        <v>10</v>
      </c>
      <c r="AW9" s="7">
        <v>5</v>
      </c>
      <c r="AX9" s="7">
        <f>Table1[[#This Row],['#sections of lesion]]-Table1[[#This Row],[cortex]]</f>
        <v>5</v>
      </c>
      <c r="AY9" s="7">
        <v>11</v>
      </c>
    </row>
    <row r="10" spans="1:51" ht="16.2" thickBot="1" x14ac:dyDescent="0.35">
      <c r="A10" s="218"/>
      <c r="B10" s="2" t="s">
        <v>32</v>
      </c>
      <c r="C10" s="15">
        <v>0.5</v>
      </c>
      <c r="D10" s="15">
        <v>0.52</v>
      </c>
      <c r="E10" s="15">
        <v>0.48</v>
      </c>
      <c r="F10" s="15">
        <v>0.54</v>
      </c>
      <c r="G10" s="15">
        <v>0.46</v>
      </c>
      <c r="H10" s="15">
        <v>0.5</v>
      </c>
      <c r="I10" s="15">
        <v>0.5</v>
      </c>
      <c r="J10" s="15">
        <v>0.54</v>
      </c>
      <c r="K10" s="15">
        <v>0.48</v>
      </c>
      <c r="L10" s="15">
        <v>0.52</v>
      </c>
      <c r="M10" s="15">
        <v>0.5</v>
      </c>
      <c r="N10" s="15">
        <v>0.46</v>
      </c>
      <c r="O10" s="15"/>
      <c r="P10" s="15"/>
      <c r="Q10" s="15"/>
      <c r="R10" s="16"/>
      <c r="S10" s="218"/>
      <c r="T10" s="6"/>
      <c r="U10" s="8" t="s">
        <v>97</v>
      </c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  <c r="AJ10" s="26"/>
      <c r="AM10" s="20" t="s">
        <v>44</v>
      </c>
      <c r="AN10" s="21">
        <v>6.3519600000000001</v>
      </c>
      <c r="AO10" s="15">
        <v>119.38096000000002</v>
      </c>
      <c r="AP10" s="15">
        <v>116.22965999999998</v>
      </c>
      <c r="AQ10" s="2">
        <v>109.8777</v>
      </c>
      <c r="AR10" s="15">
        <f>(Table1[[#This Row],[Ipsilateral Hemisphere]]-Table1[[#This Row],[Contralateral Hemisphere]])/Table1[[#This Row],[Contralateral Hemisphere]]*100</f>
        <v>-2.6397006691854665</v>
      </c>
      <c r="AS10" s="15">
        <f>(Table1[[#This Row],[Contralateral Hemisphere]]-Table1[[#This Row],[Ipsilateral Hemisphere]])/Table1[[#This Row],[Contralateral Hemisphere]]*100</f>
        <v>2.6397006691854665</v>
      </c>
      <c r="AT10" s="15" t="str">
        <f>IF(Table1[[#This Row],[Oedema if + contraction if -]]&gt;0,"Oedema","Contraction")</f>
        <v>Contraction</v>
      </c>
      <c r="AU10" s="15">
        <f>Table1[[#This Row],[Contralateral Hemisphere]]-Table1[[#This Row],[Ipsilateral Hemisphere]]</f>
        <v>3.1513000000000346</v>
      </c>
      <c r="AV10" s="7">
        <v>7</v>
      </c>
      <c r="AW10" s="7">
        <v>4</v>
      </c>
      <c r="AX10" s="7">
        <f>Table1[[#This Row],['#sections of lesion]]-Table1[[#This Row],[cortex]]</f>
        <v>3</v>
      </c>
      <c r="AY10" s="7">
        <v>11</v>
      </c>
    </row>
    <row r="11" spans="1:51" ht="15.75" customHeight="1" thickBot="1" x14ac:dyDescent="0.35">
      <c r="A11" s="216" t="s">
        <v>116</v>
      </c>
      <c r="B11" s="13" t="s">
        <v>98</v>
      </c>
      <c r="C11" s="14">
        <v>0</v>
      </c>
      <c r="D11" s="14">
        <v>0</v>
      </c>
      <c r="E11" s="14">
        <v>1.339</v>
      </c>
      <c r="F11" s="14">
        <v>1.421</v>
      </c>
      <c r="G11" s="14">
        <v>1.3280000000000001</v>
      </c>
      <c r="H11" s="14">
        <v>1.637</v>
      </c>
      <c r="I11" s="14">
        <v>1.6930000000000001</v>
      </c>
      <c r="J11" s="14">
        <v>2.681</v>
      </c>
      <c r="K11" s="14">
        <v>2.1840000000000002</v>
      </c>
      <c r="L11" s="14">
        <v>0.20899999999999999</v>
      </c>
      <c r="M11" s="14">
        <v>0</v>
      </c>
      <c r="N11" s="14"/>
      <c r="O11" s="14"/>
      <c r="P11" s="15" t="s">
        <v>109</v>
      </c>
      <c r="Q11" s="16">
        <f>COUNTIF(C11:N11, "&gt;0" )</f>
        <v>8</v>
      </c>
      <c r="S11" s="216" t="s">
        <v>116</v>
      </c>
      <c r="T11" s="216" t="s">
        <v>2</v>
      </c>
      <c r="U11" s="17" t="s">
        <v>98</v>
      </c>
      <c r="V11" s="18">
        <f t="shared" ref="V11:AH11" si="8">C11*C18</f>
        <v>0</v>
      </c>
      <c r="W11" s="18">
        <f t="shared" si="8"/>
        <v>0</v>
      </c>
      <c r="X11" s="18">
        <f t="shared" si="8"/>
        <v>0.61594000000000004</v>
      </c>
      <c r="Y11" s="18">
        <f t="shared" si="8"/>
        <v>0.73892000000000002</v>
      </c>
      <c r="Z11" s="18">
        <f t="shared" si="8"/>
        <v>0.63744000000000001</v>
      </c>
      <c r="AA11" s="18">
        <f t="shared" si="8"/>
        <v>0.85124</v>
      </c>
      <c r="AB11" s="18">
        <f t="shared" si="8"/>
        <v>0.81264000000000003</v>
      </c>
      <c r="AC11" s="18">
        <f t="shared" si="8"/>
        <v>1.3405</v>
      </c>
      <c r="AD11" s="18">
        <f t="shared" si="8"/>
        <v>1.4414400000000003</v>
      </c>
      <c r="AE11" s="18">
        <f t="shared" si="8"/>
        <v>7.1059999999999984E-2</v>
      </c>
      <c r="AF11" s="18">
        <f t="shared" si="8"/>
        <v>0</v>
      </c>
      <c r="AG11" s="18">
        <f t="shared" si="8"/>
        <v>0</v>
      </c>
      <c r="AH11" s="18">
        <f t="shared" si="8"/>
        <v>0</v>
      </c>
      <c r="AI11" s="18">
        <f t="shared" ref="AI11" si="9">R11*R18</f>
        <v>0</v>
      </c>
      <c r="AJ11" s="19">
        <f>SUM(V11:AI11)</f>
        <v>6.5091799999999997</v>
      </c>
      <c r="AK11" s="2">
        <v>6.5091799999999997</v>
      </c>
      <c r="AM11" s="20" t="s">
        <v>42</v>
      </c>
      <c r="AN11" s="21">
        <v>10.344000000000001</v>
      </c>
      <c r="AO11" s="15">
        <v>134.00399999999999</v>
      </c>
      <c r="AP11" s="15">
        <v>131.93100000000004</v>
      </c>
      <c r="AQ11" s="2">
        <v>121.587</v>
      </c>
      <c r="AR11" s="15">
        <f>(Table1[[#This Row],[Ipsilateral Hemisphere]]-Table1[[#This Row],[Contralateral Hemisphere]])/Table1[[#This Row],[Contralateral Hemisphere]]*100</f>
        <v>-1.5469687472015392</v>
      </c>
      <c r="AS11" s="15">
        <f>(Table1[[#This Row],[Contralateral Hemisphere]]-Table1[[#This Row],[Ipsilateral Hemisphere]])/Table1[[#This Row],[Contralateral Hemisphere]]*100</f>
        <v>1.5469687472015392</v>
      </c>
      <c r="AT11" s="15" t="str">
        <f>IF(Table1[[#This Row],[Oedema if + contraction if -]]&gt;0,"Oedema","Contraction")</f>
        <v>Contraction</v>
      </c>
      <c r="AU11" s="15">
        <f>Table1[[#This Row],[Contralateral Hemisphere]]-Table1[[#This Row],[Ipsilateral Hemisphere]]</f>
        <v>2.0729999999999507</v>
      </c>
      <c r="AV11" s="7">
        <v>12</v>
      </c>
      <c r="AW11" s="7">
        <v>7</v>
      </c>
      <c r="AX11" s="7">
        <f>Table1[[#This Row],['#sections of lesion]]-Table1[[#This Row],[cortex]]</f>
        <v>5</v>
      </c>
      <c r="AY11" s="7">
        <v>12</v>
      </c>
    </row>
    <row r="12" spans="1:51" ht="15.75" customHeight="1" thickBot="1" x14ac:dyDescent="0.35">
      <c r="A12" s="217"/>
      <c r="B12" s="2" t="s">
        <v>110</v>
      </c>
      <c r="C12" s="15"/>
      <c r="D12" s="15"/>
      <c r="E12" s="15" t="s">
        <v>111</v>
      </c>
      <c r="F12" s="15" t="s">
        <v>111</v>
      </c>
      <c r="G12" s="15" t="s">
        <v>111</v>
      </c>
      <c r="H12" s="15" t="s">
        <v>111</v>
      </c>
      <c r="I12" s="15" t="s">
        <v>111</v>
      </c>
      <c r="J12" s="15" t="s">
        <v>117</v>
      </c>
      <c r="K12" s="15" t="s">
        <v>111</v>
      </c>
      <c r="L12" s="15" t="s">
        <v>111</v>
      </c>
      <c r="M12" s="15"/>
      <c r="N12" s="15"/>
      <c r="O12" s="15"/>
      <c r="P12" s="15" t="s">
        <v>105</v>
      </c>
      <c r="Q12" s="15">
        <f>COUNTIF(C12:N12,"Cortex")</f>
        <v>7</v>
      </c>
      <c r="S12" s="217"/>
      <c r="T12" s="217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23"/>
      <c r="AM12" s="20" t="s">
        <v>43</v>
      </c>
      <c r="AN12" s="21">
        <v>9.5865799999999979</v>
      </c>
      <c r="AO12" s="15">
        <v>111.36594000000001</v>
      </c>
      <c r="AP12" s="15">
        <v>108.59680000000002</v>
      </c>
      <c r="AQ12" s="2">
        <v>99.010220000000004</v>
      </c>
      <c r="AR12" s="15">
        <f>(Table1[[#This Row],[Ipsilateral Hemisphere]]-Table1[[#This Row],[Contralateral Hemisphere]])/Table1[[#This Row],[Contralateral Hemisphere]]*100</f>
        <v>-2.4865232583678574</v>
      </c>
      <c r="AS12" s="15">
        <f>(Table1[[#This Row],[Contralateral Hemisphere]]-Table1[[#This Row],[Ipsilateral Hemisphere]])/Table1[[#This Row],[Contralateral Hemisphere]]*100</f>
        <v>2.4865232583678574</v>
      </c>
      <c r="AT12" s="15" t="str">
        <f>IF(Table1[[#This Row],[Oedema if + contraction if -]]&gt;0,"Oedema","Contraction")</f>
        <v>Contraction</v>
      </c>
      <c r="AU12" s="15">
        <f>Table1[[#This Row],[Contralateral Hemisphere]]-Table1[[#This Row],[Ipsilateral Hemisphere]]</f>
        <v>2.7691399999999931</v>
      </c>
      <c r="AV12" s="7">
        <v>9</v>
      </c>
      <c r="AW12" s="7">
        <v>3</v>
      </c>
      <c r="AX12" s="7">
        <f>Table1[[#This Row],['#sections of lesion]]-Table1[[#This Row],[cortex]]</f>
        <v>6</v>
      </c>
      <c r="AY12" s="7">
        <v>10</v>
      </c>
    </row>
    <row r="13" spans="1:51" ht="15.75" customHeight="1" thickBot="1" x14ac:dyDescent="0.35">
      <c r="A13" s="217"/>
      <c r="B13" s="2" t="s">
        <v>99</v>
      </c>
      <c r="C13" s="15">
        <v>7.7270000000000003</v>
      </c>
      <c r="D13" s="15">
        <v>12.728999999999999</v>
      </c>
      <c r="E13" s="15">
        <v>18.908000000000001</v>
      </c>
      <c r="F13" s="15">
        <v>19.532</v>
      </c>
      <c r="G13" s="15">
        <v>22.474</v>
      </c>
      <c r="H13" s="15">
        <v>23.847999999999999</v>
      </c>
      <c r="I13" s="15">
        <v>23.771999999999998</v>
      </c>
      <c r="J13" s="15">
        <v>25.606999999999999</v>
      </c>
      <c r="K13" s="15">
        <v>24.562999999999999</v>
      </c>
      <c r="L13" s="15">
        <v>24.356999999999999</v>
      </c>
      <c r="M13" s="15">
        <v>24.308</v>
      </c>
      <c r="N13" s="15"/>
      <c r="O13" s="15"/>
      <c r="P13" s="15" t="s">
        <v>106</v>
      </c>
      <c r="Q13" s="15">
        <f t="shared" ref="Q13" si="10">Q11-Q12</f>
        <v>1</v>
      </c>
      <c r="S13" s="217"/>
      <c r="T13" s="217"/>
      <c r="U13" s="8" t="s">
        <v>99</v>
      </c>
      <c r="V13" s="15">
        <f t="shared" ref="V13:AH13" si="11">C13*C18</f>
        <v>3.8635000000000002</v>
      </c>
      <c r="W13" s="15">
        <f t="shared" si="11"/>
        <v>6.8736600000000001</v>
      </c>
      <c r="X13" s="15">
        <f t="shared" si="11"/>
        <v>8.6976800000000001</v>
      </c>
      <c r="Y13" s="15">
        <f t="shared" si="11"/>
        <v>10.156640000000001</v>
      </c>
      <c r="Z13" s="15">
        <f t="shared" si="11"/>
        <v>10.787519999999999</v>
      </c>
      <c r="AA13" s="15">
        <f t="shared" si="11"/>
        <v>12.40096</v>
      </c>
      <c r="AB13" s="15">
        <f t="shared" si="11"/>
        <v>11.410559999999998</v>
      </c>
      <c r="AC13" s="15">
        <f t="shared" si="11"/>
        <v>12.8035</v>
      </c>
      <c r="AD13" s="15">
        <f t="shared" si="11"/>
        <v>16.211580000000001</v>
      </c>
      <c r="AE13" s="15">
        <f t="shared" si="11"/>
        <v>8.2813799999999986</v>
      </c>
      <c r="AF13" s="15">
        <f t="shared" si="11"/>
        <v>12.154</v>
      </c>
      <c r="AG13" s="15">
        <f t="shared" si="11"/>
        <v>0</v>
      </c>
      <c r="AH13" s="15">
        <f t="shared" si="11"/>
        <v>0</v>
      </c>
      <c r="AI13" s="15">
        <f t="shared" ref="AI13" si="12">R13*R18</f>
        <v>0</v>
      </c>
      <c r="AJ13" s="23">
        <f>SUM(V13:AI13)</f>
        <v>113.64098</v>
      </c>
      <c r="AK13" s="2">
        <v>113.64098</v>
      </c>
      <c r="AM13" s="20" t="s">
        <v>45</v>
      </c>
      <c r="AN13" s="21">
        <v>16.726499999999998</v>
      </c>
      <c r="AO13" s="15">
        <v>105.44250000000001</v>
      </c>
      <c r="AP13" s="15">
        <v>101.3</v>
      </c>
      <c r="AQ13" s="2">
        <v>84.573499999999996</v>
      </c>
      <c r="AR13" s="15">
        <f>(Table1[[#This Row],[Ipsilateral Hemisphere]]-Table1[[#This Row],[Contralateral Hemisphere]])/Table1[[#This Row],[Contralateral Hemisphere]]*100</f>
        <v>-3.9286815088792588</v>
      </c>
      <c r="AS13" s="15">
        <f>(Table1[[#This Row],[Contralateral Hemisphere]]-Table1[[#This Row],[Ipsilateral Hemisphere]])/Table1[[#This Row],[Contralateral Hemisphere]]*100</f>
        <v>3.9286815088792588</v>
      </c>
      <c r="AT13" s="15" t="str">
        <f>IF(Table1[[#This Row],[Oedema if + contraction if -]]&gt;0,"Oedema","Contraction")</f>
        <v>Contraction</v>
      </c>
      <c r="AU13" s="15">
        <f>Table1[[#This Row],[Contralateral Hemisphere]]-Table1[[#This Row],[Ipsilateral Hemisphere]]</f>
        <v>4.1425000000000125</v>
      </c>
      <c r="AV13" s="7">
        <v>11</v>
      </c>
      <c r="AW13" s="7">
        <v>3</v>
      </c>
      <c r="AX13" s="7">
        <f>Table1[[#This Row],['#sections of lesion]]-Table1[[#This Row],[cortex]]</f>
        <v>8</v>
      </c>
      <c r="AY13" s="7">
        <v>11</v>
      </c>
    </row>
    <row r="14" spans="1:51" ht="15.75" customHeight="1" thickBot="1" x14ac:dyDescent="0.35">
      <c r="A14" s="217"/>
      <c r="B14" s="2" t="s">
        <v>100</v>
      </c>
      <c r="C14" s="15">
        <v>7.9489999999999998</v>
      </c>
      <c r="D14" s="15">
        <v>11.15</v>
      </c>
      <c r="E14" s="15">
        <v>17.521000000000001</v>
      </c>
      <c r="F14" s="15">
        <v>18.739000000000001</v>
      </c>
      <c r="G14" s="15">
        <v>21.474</v>
      </c>
      <c r="H14" s="15">
        <v>22.895</v>
      </c>
      <c r="I14" s="15">
        <v>27.167000000000002</v>
      </c>
      <c r="J14" s="15">
        <v>25.768999999999998</v>
      </c>
      <c r="K14" s="15">
        <v>25.595000000000002</v>
      </c>
      <c r="L14" s="15">
        <v>24.738</v>
      </c>
      <c r="M14" s="15">
        <v>24.282</v>
      </c>
      <c r="N14" s="15"/>
      <c r="O14" s="15"/>
      <c r="P14" s="15" t="s">
        <v>113</v>
      </c>
      <c r="Q14" s="16">
        <f>COUNTIF(C11:O11, "&gt;=0" )</f>
        <v>11</v>
      </c>
      <c r="S14" s="217"/>
      <c r="T14" s="217"/>
      <c r="U14" s="8" t="s">
        <v>100</v>
      </c>
      <c r="V14" s="15">
        <f t="shared" ref="V14:AH14" si="13">C14*C18</f>
        <v>3.9744999999999999</v>
      </c>
      <c r="W14" s="15">
        <f t="shared" si="13"/>
        <v>6.0210000000000008</v>
      </c>
      <c r="X14" s="15">
        <f t="shared" si="13"/>
        <v>8.0596600000000009</v>
      </c>
      <c r="Y14" s="15">
        <f t="shared" si="13"/>
        <v>9.7442800000000016</v>
      </c>
      <c r="Z14" s="15">
        <f t="shared" si="13"/>
        <v>10.30752</v>
      </c>
      <c r="AA14" s="15">
        <f t="shared" si="13"/>
        <v>11.9054</v>
      </c>
      <c r="AB14" s="15">
        <f t="shared" si="13"/>
        <v>13.04016</v>
      </c>
      <c r="AC14" s="15">
        <f t="shared" si="13"/>
        <v>12.884499999999999</v>
      </c>
      <c r="AD14" s="15">
        <f t="shared" si="13"/>
        <v>16.892700000000001</v>
      </c>
      <c r="AE14" s="15">
        <f t="shared" si="13"/>
        <v>8.4109199999999991</v>
      </c>
      <c r="AF14" s="15">
        <f t="shared" si="13"/>
        <v>12.141</v>
      </c>
      <c r="AG14" s="15">
        <f t="shared" si="13"/>
        <v>0</v>
      </c>
      <c r="AH14" s="15">
        <f t="shared" si="13"/>
        <v>0</v>
      </c>
      <c r="AI14" s="15">
        <f t="shared" ref="AI14" si="14">R14*R18</f>
        <v>0</v>
      </c>
      <c r="AJ14" s="23">
        <f>SUM(V14:AI14)</f>
        <v>113.38164000000002</v>
      </c>
      <c r="AK14" s="2">
        <v>113.38164000000002</v>
      </c>
      <c r="AM14" s="20" t="s">
        <v>46</v>
      </c>
      <c r="AN14" s="21">
        <v>9.727640000000001</v>
      </c>
      <c r="AO14" s="15">
        <v>103.31644000000001</v>
      </c>
      <c r="AP14" s="15">
        <v>95.89622</v>
      </c>
      <c r="AQ14" s="2">
        <v>86.168579999999992</v>
      </c>
      <c r="AR14" s="15">
        <f>(Table1[[#This Row],[Ipsilateral Hemisphere]]-Table1[[#This Row],[Contralateral Hemisphere]])/Table1[[#This Row],[Contralateral Hemisphere]]*100</f>
        <v>-7.1820322109434027</v>
      </c>
      <c r="AS14" s="15">
        <f>(Table1[[#This Row],[Contralateral Hemisphere]]-Table1[[#This Row],[Ipsilateral Hemisphere]])/Table1[[#This Row],[Contralateral Hemisphere]]*100</f>
        <v>7.1820322109434027</v>
      </c>
      <c r="AT14" s="15" t="str">
        <f>IF(Table1[[#This Row],[Oedema if + contraction if -]]&gt;0,"Oedema","Contraction")</f>
        <v>Contraction</v>
      </c>
      <c r="AU14" s="15">
        <f>Table1[[#This Row],[Contralateral Hemisphere]]-Table1[[#This Row],[Ipsilateral Hemisphere]]</f>
        <v>7.4202200000000147</v>
      </c>
      <c r="AV14" s="7">
        <v>10</v>
      </c>
      <c r="AW14" s="7">
        <v>8</v>
      </c>
      <c r="AX14" s="7">
        <f>Table1[[#This Row],['#sections of lesion]]-Table1[[#This Row],[cortex]]</f>
        <v>2</v>
      </c>
      <c r="AY14" s="7">
        <v>11</v>
      </c>
    </row>
    <row r="15" spans="1:51" ht="16.2" thickBot="1" x14ac:dyDescent="0.35">
      <c r="A15" s="217"/>
      <c r="B15" s="2" t="s">
        <v>114</v>
      </c>
      <c r="C15" s="15">
        <v>7.9489999999999998</v>
      </c>
      <c r="D15" s="15">
        <v>11.15</v>
      </c>
      <c r="E15" s="15">
        <v>16.182000000000002</v>
      </c>
      <c r="F15" s="15">
        <v>17.318000000000001</v>
      </c>
      <c r="G15" s="15">
        <v>20.146000000000001</v>
      </c>
      <c r="H15" s="15">
        <v>21.257999999999999</v>
      </c>
      <c r="I15" s="15">
        <v>25.474</v>
      </c>
      <c r="J15" s="15">
        <v>23.087999999999997</v>
      </c>
      <c r="K15" s="15">
        <v>23.411000000000001</v>
      </c>
      <c r="L15" s="15">
        <v>24.529</v>
      </c>
      <c r="M15" s="15">
        <v>24.282</v>
      </c>
      <c r="N15" s="15"/>
      <c r="O15" s="15"/>
      <c r="P15" s="15"/>
      <c r="Q15" s="15"/>
      <c r="S15" s="217"/>
      <c r="T15" s="6"/>
      <c r="U15" s="8" t="s">
        <v>101</v>
      </c>
      <c r="V15" s="15">
        <f t="shared" ref="V15:AH15" si="15">C15*C18</f>
        <v>3.9744999999999999</v>
      </c>
      <c r="W15" s="15">
        <f t="shared" si="15"/>
        <v>6.0210000000000008</v>
      </c>
      <c r="X15" s="15">
        <f t="shared" si="15"/>
        <v>7.4437200000000017</v>
      </c>
      <c r="Y15" s="15">
        <f t="shared" si="15"/>
        <v>9.0053600000000014</v>
      </c>
      <c r="Z15" s="15">
        <f t="shared" si="15"/>
        <v>9.6700800000000005</v>
      </c>
      <c r="AA15" s="15">
        <f t="shared" si="15"/>
        <v>11.05416</v>
      </c>
      <c r="AB15" s="15">
        <f t="shared" si="15"/>
        <v>12.22752</v>
      </c>
      <c r="AC15" s="15">
        <f t="shared" si="15"/>
        <v>11.543999999999999</v>
      </c>
      <c r="AD15" s="15">
        <f t="shared" si="15"/>
        <v>15.451260000000001</v>
      </c>
      <c r="AE15" s="15">
        <f t="shared" si="15"/>
        <v>8.3398599999999998</v>
      </c>
      <c r="AF15" s="15">
        <f t="shared" si="15"/>
        <v>12.141</v>
      </c>
      <c r="AG15" s="15">
        <f t="shared" si="15"/>
        <v>0</v>
      </c>
      <c r="AH15" s="15">
        <f t="shared" si="15"/>
        <v>0</v>
      </c>
      <c r="AI15" s="15">
        <f t="shared" ref="AI15" si="16">R15*R18</f>
        <v>0</v>
      </c>
      <c r="AJ15" s="23">
        <f>SUM(V15:AI15)</f>
        <v>106.87246</v>
      </c>
      <c r="AK15" s="2">
        <v>106.87246</v>
      </c>
      <c r="AM15" s="20" t="s">
        <v>47</v>
      </c>
      <c r="AN15" s="21">
        <v>12.386699999999998</v>
      </c>
      <c r="AO15" s="15">
        <v>99.635540000000006</v>
      </c>
      <c r="AP15" s="15">
        <v>101.97772000000001</v>
      </c>
      <c r="AQ15" s="2">
        <v>89.59102</v>
      </c>
      <c r="AR15" s="15">
        <f>(Table1[[#This Row],[Ipsilateral Hemisphere]]-Table1[[#This Row],[Contralateral Hemisphere]])/Table1[[#This Row],[Contralateral Hemisphere]]*100</f>
        <v>2.3507475344641069</v>
      </c>
      <c r="AS15" s="15">
        <f>(Table1[[#This Row],[Contralateral Hemisphere]]-Table1[[#This Row],[Ipsilateral Hemisphere]])/Table1[[#This Row],[Contralateral Hemisphere]]*100</f>
        <v>-2.3507475344641069</v>
      </c>
      <c r="AT15" s="15" t="str">
        <f>IF(Table1[[#This Row],[Oedema if + contraction if -]]&gt;0,"Oedema","Contraction")</f>
        <v>Oedema</v>
      </c>
      <c r="AU15" s="15">
        <f>Table1[[#This Row],[Contralateral Hemisphere]]-Table1[[#This Row],[Ipsilateral Hemisphere]]</f>
        <v>-2.342179999999999</v>
      </c>
      <c r="AV15" s="7">
        <v>10</v>
      </c>
      <c r="AW15" s="7">
        <v>6</v>
      </c>
      <c r="AX15" s="7">
        <f>Table1[[#This Row],['#sections of lesion]]-Table1[[#This Row],[cortex]]</f>
        <v>4</v>
      </c>
      <c r="AY15" s="7">
        <v>10</v>
      </c>
    </row>
    <row r="16" spans="1:51" ht="16.2" thickBot="1" x14ac:dyDescent="0.35">
      <c r="A16" s="2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S16" s="217"/>
      <c r="T16" s="6"/>
      <c r="U16" s="24" t="s">
        <v>115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19">
        <f>(AJ13-AJ14)/AJ13*100</f>
        <v>0.22820992919981892</v>
      </c>
      <c r="AK16" s="2">
        <v>0.22820992919981892</v>
      </c>
      <c r="AM16" s="20" t="s">
        <v>48</v>
      </c>
      <c r="AN16" s="21">
        <v>8.741340000000001</v>
      </c>
      <c r="AO16" s="15">
        <v>95.35472</v>
      </c>
      <c r="AP16" s="15">
        <v>95.425260000000009</v>
      </c>
      <c r="AQ16" s="2">
        <v>86.683920000000001</v>
      </c>
      <c r="AR16" s="15">
        <f>(Table1[[#This Row],[Ipsilateral Hemisphere]]-Table1[[#This Row],[Contralateral Hemisphere]])/Table1[[#This Row],[Contralateral Hemisphere]]*100</f>
        <v>7.3976411445608847E-2</v>
      </c>
      <c r="AS16" s="15">
        <f>(Table1[[#This Row],[Contralateral Hemisphere]]-Table1[[#This Row],[Ipsilateral Hemisphere]])/Table1[[#This Row],[Contralateral Hemisphere]]*100</f>
        <v>-7.3976411445608847E-2</v>
      </c>
      <c r="AT16" s="15" t="str">
        <f>IF(Table1[[#This Row],[Oedema if + contraction if -]]&gt;0,"Oedema","Contraction")</f>
        <v>Oedema</v>
      </c>
      <c r="AU16" s="15">
        <f>Table1[[#This Row],[Contralateral Hemisphere]]-Table1[[#This Row],[Ipsilateral Hemisphere]]</f>
        <v>-7.0540000000008263E-2</v>
      </c>
      <c r="AV16" s="7">
        <v>9</v>
      </c>
      <c r="AW16" s="7">
        <v>4</v>
      </c>
      <c r="AX16" s="7">
        <f>Table1[[#This Row],['#sections of lesion]]-Table1[[#This Row],[cortex]]</f>
        <v>5</v>
      </c>
      <c r="AY16" s="7">
        <v>10</v>
      </c>
    </row>
    <row r="17" spans="1:51" ht="16.2" thickBot="1" x14ac:dyDescent="0.35">
      <c r="A17" s="2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217"/>
      <c r="T17" s="6"/>
      <c r="U17" s="24" t="s">
        <v>103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19">
        <f>AJ13-AJ15</f>
        <v>6.7685199999999952</v>
      </c>
      <c r="AK17" s="2">
        <v>6.7685199999999952</v>
      </c>
      <c r="AM17" s="20" t="s">
        <v>49</v>
      </c>
      <c r="AN17" s="21">
        <v>19.568200000000001</v>
      </c>
      <c r="AO17" s="15">
        <v>124.33105999999998</v>
      </c>
      <c r="AP17" s="15">
        <v>127.07664</v>
      </c>
      <c r="AQ17" s="2">
        <v>107.50844000000001</v>
      </c>
      <c r="AR17" s="15">
        <f>(Table1[[#This Row],[Ipsilateral Hemisphere]]-Table1[[#This Row],[Contralateral Hemisphere]])/Table1[[#This Row],[Contralateral Hemisphere]]*100</f>
        <v>2.2082816634878029</v>
      </c>
      <c r="AS17" s="15">
        <f>(Table1[[#This Row],[Contralateral Hemisphere]]-Table1[[#This Row],[Ipsilateral Hemisphere]])/Table1[[#This Row],[Contralateral Hemisphere]]*100</f>
        <v>-2.2082816634878029</v>
      </c>
      <c r="AT17" s="15" t="str">
        <f>IF(Table1[[#This Row],[Oedema if + contraction if -]]&gt;0,"Oedema","Contraction")</f>
        <v>Oedema</v>
      </c>
      <c r="AU17" s="15">
        <f>Table1[[#This Row],[Contralateral Hemisphere]]-Table1[[#This Row],[Ipsilateral Hemisphere]]</f>
        <v>-2.7455800000000181</v>
      </c>
      <c r="AV17" s="7">
        <v>12</v>
      </c>
      <c r="AW17" s="7">
        <v>6</v>
      </c>
      <c r="AX17" s="7">
        <f>Table1[[#This Row],['#sections of lesion]]-Table1[[#This Row],[cortex]]</f>
        <v>6</v>
      </c>
      <c r="AY17" s="7">
        <v>12</v>
      </c>
    </row>
    <row r="18" spans="1:51" ht="16.2" thickBot="1" x14ac:dyDescent="0.35">
      <c r="A18" s="218"/>
      <c r="B18" s="2" t="s">
        <v>32</v>
      </c>
      <c r="C18" s="15">
        <v>0.5</v>
      </c>
      <c r="D18" s="15">
        <v>0.54</v>
      </c>
      <c r="E18" s="15">
        <v>0.46</v>
      </c>
      <c r="F18" s="15">
        <v>0.52</v>
      </c>
      <c r="G18" s="15">
        <v>0.48</v>
      </c>
      <c r="H18" s="15">
        <v>0.52</v>
      </c>
      <c r="I18" s="15">
        <v>0.48</v>
      </c>
      <c r="J18" s="15">
        <v>0.5</v>
      </c>
      <c r="K18" s="15">
        <v>0.66</v>
      </c>
      <c r="L18" s="15">
        <v>0.33999999999999997</v>
      </c>
      <c r="M18" s="15">
        <v>0.5</v>
      </c>
      <c r="N18" s="15"/>
      <c r="O18" s="15"/>
      <c r="P18" s="15"/>
      <c r="Q18" s="15"/>
      <c r="R18" s="16"/>
      <c r="S18" s="218"/>
      <c r="T18" s="6"/>
      <c r="U18" s="8" t="s">
        <v>97</v>
      </c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20"/>
      <c r="AJ18" s="26"/>
      <c r="AM18" s="20" t="s">
        <v>50</v>
      </c>
      <c r="AN18" s="21">
        <v>16.358460000000001</v>
      </c>
      <c r="AO18" s="15">
        <v>123.74878000000002</v>
      </c>
      <c r="AP18" s="15">
        <v>126.79669999999999</v>
      </c>
      <c r="AQ18" s="2">
        <v>110.43824000000001</v>
      </c>
      <c r="AR18" s="15">
        <f>(Table1[[#This Row],[Ipsilateral Hemisphere]]-Table1[[#This Row],[Contralateral Hemisphere]])/Table1[[#This Row],[Contralateral Hemisphere]]*100</f>
        <v>2.4629899381633997</v>
      </c>
      <c r="AS18" s="15">
        <f>(Table1[[#This Row],[Contralateral Hemisphere]]-Table1[[#This Row],[Ipsilateral Hemisphere]])/Table1[[#This Row],[Contralateral Hemisphere]]*100</f>
        <v>-2.4629899381633997</v>
      </c>
      <c r="AT18" s="15" t="str">
        <f>IF(Table1[[#This Row],[Oedema if + contraction if -]]&gt;0,"Oedema","Contraction")</f>
        <v>Oedema</v>
      </c>
      <c r="AU18" s="15">
        <f>Table1[[#This Row],[Contralateral Hemisphere]]-Table1[[#This Row],[Ipsilateral Hemisphere]]</f>
        <v>-3.0479199999999622</v>
      </c>
      <c r="AV18" s="7">
        <v>12</v>
      </c>
      <c r="AW18" s="7">
        <v>7</v>
      </c>
      <c r="AX18" s="7">
        <f>Table1[[#This Row],['#sections of lesion]]-Table1[[#This Row],[cortex]]</f>
        <v>5</v>
      </c>
      <c r="AY18" s="7">
        <v>12</v>
      </c>
    </row>
    <row r="19" spans="1:51" ht="15.75" customHeight="1" thickBot="1" x14ac:dyDescent="0.35">
      <c r="A19" s="216" t="s">
        <v>118</v>
      </c>
      <c r="B19" s="13" t="s">
        <v>98</v>
      </c>
      <c r="C19" s="14">
        <v>0</v>
      </c>
      <c r="D19" s="14">
        <v>0</v>
      </c>
      <c r="E19" s="14">
        <v>0.58799999999999997</v>
      </c>
      <c r="F19" s="14">
        <v>1.218</v>
      </c>
      <c r="G19" s="14">
        <v>1.369</v>
      </c>
      <c r="H19" s="14">
        <v>0.88500000000000001</v>
      </c>
      <c r="I19" s="14">
        <v>0.39700000000000002</v>
      </c>
      <c r="J19" s="14">
        <v>0.28700000000000003</v>
      </c>
      <c r="K19" s="14">
        <v>0.114</v>
      </c>
      <c r="L19" s="14">
        <v>0.33900000000000002</v>
      </c>
      <c r="M19" s="14">
        <v>9.2999999999999999E-2</v>
      </c>
      <c r="N19" s="14">
        <v>0</v>
      </c>
      <c r="O19" s="14"/>
      <c r="P19" s="15" t="s">
        <v>109</v>
      </c>
      <c r="Q19" s="16">
        <f>COUNTIF(C19:N19, "&gt;0" )</f>
        <v>9</v>
      </c>
      <c r="S19" s="216" t="s">
        <v>118</v>
      </c>
      <c r="T19" s="216" t="s">
        <v>2</v>
      </c>
      <c r="U19" s="17" t="s">
        <v>98</v>
      </c>
      <c r="V19" s="18">
        <f t="shared" ref="V19:AH19" si="17">C19*C26</f>
        <v>0</v>
      </c>
      <c r="W19" s="18">
        <f t="shared" si="17"/>
        <v>0</v>
      </c>
      <c r="X19" s="18">
        <f t="shared" si="17"/>
        <v>0.29399999999999998</v>
      </c>
      <c r="Y19" s="18">
        <f t="shared" si="17"/>
        <v>0.60899999999999999</v>
      </c>
      <c r="Z19" s="18">
        <f t="shared" si="17"/>
        <v>0.6845</v>
      </c>
      <c r="AA19" s="18">
        <f t="shared" si="17"/>
        <v>0.4425</v>
      </c>
      <c r="AB19" s="18">
        <f t="shared" si="17"/>
        <v>0.19850000000000001</v>
      </c>
      <c r="AC19" s="18">
        <f t="shared" si="17"/>
        <v>0.14350000000000002</v>
      </c>
      <c r="AD19" s="18">
        <f t="shared" si="17"/>
        <v>5.7000000000000002E-2</v>
      </c>
      <c r="AE19" s="18">
        <f t="shared" si="17"/>
        <v>0.16950000000000001</v>
      </c>
      <c r="AF19" s="18">
        <f t="shared" si="17"/>
        <v>4.65E-2</v>
      </c>
      <c r="AG19" s="18">
        <f t="shared" si="17"/>
        <v>0</v>
      </c>
      <c r="AH19" s="18">
        <f t="shared" si="17"/>
        <v>0</v>
      </c>
      <c r="AI19" s="18">
        <f t="shared" ref="AI19" si="18">R19*R26</f>
        <v>0</v>
      </c>
      <c r="AJ19" s="19">
        <f>SUM(V19:AI19)</f>
        <v>2.645</v>
      </c>
      <c r="AK19" s="2">
        <v>2.645</v>
      </c>
      <c r="AM19" s="20" t="s">
        <v>51</v>
      </c>
      <c r="AN19" s="21">
        <v>7.3904999999999994</v>
      </c>
      <c r="AO19" s="15">
        <v>100.9705</v>
      </c>
      <c r="AP19" s="15">
        <v>97.236999999999995</v>
      </c>
      <c r="AQ19" s="2">
        <v>89.84650000000002</v>
      </c>
      <c r="AR19" s="15">
        <f>(Table1[[#This Row],[Ipsilateral Hemisphere]]-Table1[[#This Row],[Contralateral Hemisphere]])/Table1[[#This Row],[Contralateral Hemisphere]]*100</f>
        <v>-3.6976146498234699</v>
      </c>
      <c r="AS19" s="15">
        <f>(Table1[[#This Row],[Contralateral Hemisphere]]-Table1[[#This Row],[Ipsilateral Hemisphere]])/Table1[[#This Row],[Contralateral Hemisphere]]*100</f>
        <v>3.6976146498234699</v>
      </c>
      <c r="AT19" s="15" t="str">
        <f>IF(Table1[[#This Row],[Oedema if + contraction if -]]&gt;0,"Oedema","Contraction")</f>
        <v>Contraction</v>
      </c>
      <c r="AU19" s="15">
        <f>Table1[[#This Row],[Contralateral Hemisphere]]-Table1[[#This Row],[Ipsilateral Hemisphere]]</f>
        <v>3.7335000000000065</v>
      </c>
      <c r="AV19" s="7">
        <v>8</v>
      </c>
      <c r="AW19" s="7">
        <v>5</v>
      </c>
      <c r="AX19" s="7">
        <f>Table1[[#This Row],['#sections of lesion]]-Table1[[#This Row],[cortex]]</f>
        <v>3</v>
      </c>
      <c r="AY19" s="7">
        <v>9</v>
      </c>
    </row>
    <row r="20" spans="1:51" ht="15.75" customHeight="1" thickBot="1" x14ac:dyDescent="0.35">
      <c r="A20" s="217"/>
      <c r="B20" s="2" t="s">
        <v>110</v>
      </c>
      <c r="C20" s="15"/>
      <c r="D20" s="15"/>
      <c r="E20" s="15" t="s">
        <v>111</v>
      </c>
      <c r="F20" s="15" t="s">
        <v>111</v>
      </c>
      <c r="G20" s="15" t="s">
        <v>111</v>
      </c>
      <c r="H20" s="15" t="s">
        <v>111</v>
      </c>
      <c r="I20" s="15" t="s">
        <v>111</v>
      </c>
      <c r="J20" s="15" t="s">
        <v>111</v>
      </c>
      <c r="K20" s="15" t="s">
        <v>111</v>
      </c>
      <c r="L20" s="15" t="s">
        <v>111</v>
      </c>
      <c r="M20" s="15" t="s">
        <v>111</v>
      </c>
      <c r="N20" s="15"/>
      <c r="O20" s="15"/>
      <c r="P20" s="15" t="s">
        <v>105</v>
      </c>
      <c r="Q20" s="15">
        <f>COUNTIF(C20:N20,"Cortex")</f>
        <v>9</v>
      </c>
      <c r="S20" s="217"/>
      <c r="T20" s="217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23"/>
      <c r="AM20" s="20" t="s">
        <v>52</v>
      </c>
      <c r="AN20" s="21">
        <v>7.4828800000000006</v>
      </c>
      <c r="AO20" s="15">
        <v>101.57096</v>
      </c>
      <c r="AP20" s="15">
        <v>101.42242</v>
      </c>
      <c r="AQ20" s="2">
        <v>93.939539999999994</v>
      </c>
      <c r="AR20" s="15">
        <f>(Table1[[#This Row],[Ipsilateral Hemisphere]]-Table1[[#This Row],[Contralateral Hemisphere]])/Table1[[#This Row],[Contralateral Hemisphere]]*100</f>
        <v>-0.14624258744822044</v>
      </c>
      <c r="AS20" s="15">
        <f>(Table1[[#This Row],[Contralateral Hemisphere]]-Table1[[#This Row],[Ipsilateral Hemisphere]])/Table1[[#This Row],[Contralateral Hemisphere]]*100</f>
        <v>0.14624258744822044</v>
      </c>
      <c r="AT20" s="15" t="str">
        <f>IF(Table1[[#This Row],[Oedema if + contraction if -]]&gt;0,"Oedema","Contraction")</f>
        <v>Contraction</v>
      </c>
      <c r="AU20" s="15">
        <f>Table1[[#This Row],[Contralateral Hemisphere]]-Table1[[#This Row],[Ipsilateral Hemisphere]]</f>
        <v>0.14853999999999701</v>
      </c>
      <c r="AV20" s="7">
        <v>8</v>
      </c>
      <c r="AW20" s="7">
        <v>6</v>
      </c>
      <c r="AX20" s="7">
        <f>Table1[[#This Row],['#sections of lesion]]-Table1[[#This Row],[cortex]]</f>
        <v>2</v>
      </c>
      <c r="AY20" s="7">
        <v>10</v>
      </c>
    </row>
    <row r="21" spans="1:51" ht="15.75" customHeight="1" thickBot="1" x14ac:dyDescent="0.35">
      <c r="A21" s="217"/>
      <c r="B21" s="2" t="s">
        <v>99</v>
      </c>
      <c r="C21" s="15">
        <v>11.555</v>
      </c>
      <c r="D21" s="15">
        <v>15.315</v>
      </c>
      <c r="E21" s="15">
        <v>18.25</v>
      </c>
      <c r="F21" s="15">
        <v>20.614000000000001</v>
      </c>
      <c r="G21" s="15">
        <v>22.122</v>
      </c>
      <c r="H21" s="15">
        <v>24.199000000000002</v>
      </c>
      <c r="I21" s="15">
        <v>25.42</v>
      </c>
      <c r="J21" s="15">
        <v>26.332000000000001</v>
      </c>
      <c r="K21" s="15">
        <v>26.143999999999998</v>
      </c>
      <c r="L21" s="15">
        <v>25.88</v>
      </c>
      <c r="M21" s="15">
        <v>24.606999999999999</v>
      </c>
      <c r="N21" s="15">
        <v>24.326000000000001</v>
      </c>
      <c r="O21" s="15"/>
      <c r="P21" s="15" t="s">
        <v>106</v>
      </c>
      <c r="Q21" s="15">
        <f t="shared" ref="Q21" si="19">Q19-Q20</f>
        <v>0</v>
      </c>
      <c r="S21" s="217"/>
      <c r="T21" s="217"/>
      <c r="U21" s="8" t="s">
        <v>99</v>
      </c>
      <c r="V21" s="15">
        <f t="shared" ref="V21:AH21" si="20">C21*C26</f>
        <v>5.7774999999999999</v>
      </c>
      <c r="W21" s="15">
        <f t="shared" si="20"/>
        <v>7.6574999999999998</v>
      </c>
      <c r="X21" s="15">
        <f t="shared" si="20"/>
        <v>9.125</v>
      </c>
      <c r="Y21" s="15">
        <f t="shared" si="20"/>
        <v>10.307</v>
      </c>
      <c r="Z21" s="15">
        <f t="shared" si="20"/>
        <v>11.061</v>
      </c>
      <c r="AA21" s="15">
        <f t="shared" si="20"/>
        <v>12.099500000000001</v>
      </c>
      <c r="AB21" s="15">
        <f t="shared" si="20"/>
        <v>12.71</v>
      </c>
      <c r="AC21" s="15">
        <f t="shared" si="20"/>
        <v>13.166</v>
      </c>
      <c r="AD21" s="15">
        <f t="shared" si="20"/>
        <v>13.071999999999999</v>
      </c>
      <c r="AE21" s="15">
        <f t="shared" si="20"/>
        <v>12.94</v>
      </c>
      <c r="AF21" s="15">
        <f t="shared" si="20"/>
        <v>12.3035</v>
      </c>
      <c r="AG21" s="15">
        <f t="shared" si="20"/>
        <v>12.163</v>
      </c>
      <c r="AH21" s="15">
        <f t="shared" si="20"/>
        <v>0</v>
      </c>
      <c r="AI21" s="15">
        <f t="shared" ref="AI21" si="21">R21*R26</f>
        <v>0</v>
      </c>
      <c r="AJ21" s="23">
        <f>SUM(V21:AI21)</f>
        <v>132.38200000000001</v>
      </c>
      <c r="AK21" s="2">
        <v>132.38200000000001</v>
      </c>
      <c r="AM21" s="20" t="s">
        <v>53</v>
      </c>
      <c r="AN21" s="21">
        <v>7.9421400000000002</v>
      </c>
      <c r="AO21" s="15">
        <v>121.61672</v>
      </c>
      <c r="AP21" s="15">
        <v>118.76087999999999</v>
      </c>
      <c r="AQ21" s="2">
        <v>110.81874000000002</v>
      </c>
      <c r="AR21" s="15">
        <f>(Table1[[#This Row],[Ipsilateral Hemisphere]]-Table1[[#This Row],[Contralateral Hemisphere]])/Table1[[#This Row],[Contralateral Hemisphere]]*100</f>
        <v>-2.3482297499883362</v>
      </c>
      <c r="AS21" s="15">
        <f>(Table1[[#This Row],[Contralateral Hemisphere]]-Table1[[#This Row],[Ipsilateral Hemisphere]])/Table1[[#This Row],[Contralateral Hemisphere]]*100</f>
        <v>2.3482297499883362</v>
      </c>
      <c r="AT21" s="15" t="str">
        <f>IF(Table1[[#This Row],[Oedema if + contraction if -]]&gt;0,"Oedema","Contraction")</f>
        <v>Contraction</v>
      </c>
      <c r="AU21" s="15">
        <f>Table1[[#This Row],[Contralateral Hemisphere]]-Table1[[#This Row],[Ipsilateral Hemisphere]]</f>
        <v>2.8558400000000148</v>
      </c>
      <c r="AV21" s="7">
        <v>9</v>
      </c>
      <c r="AW21" s="7">
        <v>6</v>
      </c>
      <c r="AX21" s="7">
        <f>Table1[[#This Row],['#sections of lesion]]-Table1[[#This Row],[cortex]]</f>
        <v>3</v>
      </c>
      <c r="AY21" s="7">
        <v>11</v>
      </c>
    </row>
    <row r="22" spans="1:51" ht="15.75" customHeight="1" thickBot="1" x14ac:dyDescent="0.35">
      <c r="A22" s="217"/>
      <c r="B22" s="2" t="s">
        <v>100</v>
      </c>
      <c r="C22" s="15">
        <v>11.093999999999999</v>
      </c>
      <c r="D22" s="15">
        <v>14.845000000000001</v>
      </c>
      <c r="E22" s="15">
        <v>17.45</v>
      </c>
      <c r="F22" s="15">
        <v>19.181000000000001</v>
      </c>
      <c r="G22" s="15">
        <v>21.08</v>
      </c>
      <c r="H22" s="15">
        <v>22.87</v>
      </c>
      <c r="I22" s="15">
        <v>24.161999999999999</v>
      </c>
      <c r="J22" s="15">
        <v>25.312000000000001</v>
      </c>
      <c r="K22" s="15">
        <v>25.792000000000002</v>
      </c>
      <c r="L22" s="15">
        <v>25.591000000000001</v>
      </c>
      <c r="M22" s="15">
        <v>25.251000000000001</v>
      </c>
      <c r="N22" s="15">
        <v>24.913</v>
      </c>
      <c r="O22" s="15"/>
      <c r="P22" s="15" t="s">
        <v>113</v>
      </c>
      <c r="Q22" s="16">
        <f>COUNTIF(C19:O19, "&gt;=0" )</f>
        <v>12</v>
      </c>
      <c r="S22" s="217"/>
      <c r="T22" s="217"/>
      <c r="U22" s="8" t="s">
        <v>100</v>
      </c>
      <c r="V22" s="15">
        <f t="shared" ref="V22:AH22" si="22">C22*C26</f>
        <v>5.5469999999999997</v>
      </c>
      <c r="W22" s="15">
        <f t="shared" si="22"/>
        <v>7.4225000000000003</v>
      </c>
      <c r="X22" s="15">
        <f t="shared" si="22"/>
        <v>8.7249999999999996</v>
      </c>
      <c r="Y22" s="15">
        <f t="shared" si="22"/>
        <v>9.5905000000000005</v>
      </c>
      <c r="Z22" s="15">
        <f t="shared" si="22"/>
        <v>10.54</v>
      </c>
      <c r="AA22" s="15">
        <f t="shared" si="22"/>
        <v>11.435</v>
      </c>
      <c r="AB22" s="15">
        <f t="shared" si="22"/>
        <v>12.081</v>
      </c>
      <c r="AC22" s="15">
        <f t="shared" si="22"/>
        <v>12.656000000000001</v>
      </c>
      <c r="AD22" s="15">
        <f t="shared" si="22"/>
        <v>12.896000000000001</v>
      </c>
      <c r="AE22" s="15">
        <f t="shared" si="22"/>
        <v>12.795500000000001</v>
      </c>
      <c r="AF22" s="15">
        <f t="shared" si="22"/>
        <v>12.625500000000001</v>
      </c>
      <c r="AG22" s="15">
        <f t="shared" si="22"/>
        <v>12.4565</v>
      </c>
      <c r="AH22" s="15">
        <f t="shared" si="22"/>
        <v>0</v>
      </c>
      <c r="AI22" s="15">
        <f t="shared" ref="AI22" si="23">R22*R26</f>
        <v>0</v>
      </c>
      <c r="AJ22" s="23">
        <f>SUM(V22:AI22)</f>
        <v>128.7705</v>
      </c>
      <c r="AK22" s="2">
        <v>128.7705</v>
      </c>
      <c r="AM22" s="20" t="s">
        <v>54</v>
      </c>
      <c r="AN22" s="21">
        <v>15.232579999999999</v>
      </c>
      <c r="AO22" s="15">
        <v>104.97389999999999</v>
      </c>
      <c r="AP22" s="15">
        <v>106.0878</v>
      </c>
      <c r="AQ22" s="2">
        <v>90.855220000000003</v>
      </c>
      <c r="AR22" s="15">
        <f>(Table1[[#This Row],[Ipsilateral Hemisphere]]-Table1[[#This Row],[Contralateral Hemisphere]])/Table1[[#This Row],[Contralateral Hemisphere]]*100</f>
        <v>1.0611209071969465</v>
      </c>
      <c r="AS22" s="15">
        <f>(Table1[[#This Row],[Contralateral Hemisphere]]-Table1[[#This Row],[Ipsilateral Hemisphere]])/Table1[[#This Row],[Contralateral Hemisphere]]*100</f>
        <v>-1.0611209071969465</v>
      </c>
      <c r="AT22" s="15" t="str">
        <f>IF(Table1[[#This Row],[Oedema if + contraction if -]]&gt;0,"Oedema","Contraction")</f>
        <v>Oedema</v>
      </c>
      <c r="AU22" s="15">
        <f>Table1[[#This Row],[Contralateral Hemisphere]]-Table1[[#This Row],[Ipsilateral Hemisphere]]</f>
        <v>-1.1139000000000152</v>
      </c>
      <c r="AV22" s="7">
        <v>11</v>
      </c>
      <c r="AW22" s="7">
        <v>7</v>
      </c>
      <c r="AX22" s="7">
        <f>Table1[[#This Row],['#sections of lesion]]-Table1[[#This Row],[cortex]]</f>
        <v>4</v>
      </c>
      <c r="AY22" s="7">
        <v>11</v>
      </c>
    </row>
    <row r="23" spans="1:51" ht="16.2" thickBot="1" x14ac:dyDescent="0.35">
      <c r="A23" s="217"/>
      <c r="B23" s="2" t="s">
        <v>114</v>
      </c>
      <c r="C23" s="15">
        <v>11.093999999999999</v>
      </c>
      <c r="D23" s="15">
        <v>14.845000000000001</v>
      </c>
      <c r="E23" s="15">
        <v>16.861999999999998</v>
      </c>
      <c r="F23" s="15">
        <v>17.963000000000001</v>
      </c>
      <c r="G23" s="15">
        <v>19.710999999999999</v>
      </c>
      <c r="H23" s="15">
        <v>21.984999999999999</v>
      </c>
      <c r="I23" s="15">
        <v>23.765000000000001</v>
      </c>
      <c r="J23" s="15">
        <v>25.025000000000002</v>
      </c>
      <c r="K23" s="15">
        <v>25.678000000000001</v>
      </c>
      <c r="L23" s="15">
        <v>25.252000000000002</v>
      </c>
      <c r="M23" s="15">
        <v>25.158000000000001</v>
      </c>
      <c r="N23" s="15">
        <v>24.913</v>
      </c>
      <c r="O23" s="15"/>
      <c r="P23" s="15"/>
      <c r="Q23" s="15"/>
      <c r="S23" s="217"/>
      <c r="T23" s="6"/>
      <c r="U23" s="8" t="s">
        <v>101</v>
      </c>
      <c r="V23" s="15">
        <f t="shared" ref="V23:AH23" si="24">C23*C26</f>
        <v>5.5469999999999997</v>
      </c>
      <c r="W23" s="15">
        <f t="shared" si="24"/>
        <v>7.4225000000000003</v>
      </c>
      <c r="X23" s="15">
        <f t="shared" si="24"/>
        <v>8.4309999999999992</v>
      </c>
      <c r="Y23" s="15">
        <f t="shared" si="24"/>
        <v>8.9815000000000005</v>
      </c>
      <c r="Z23" s="15">
        <f t="shared" si="24"/>
        <v>9.8554999999999993</v>
      </c>
      <c r="AA23" s="15">
        <f t="shared" si="24"/>
        <v>10.9925</v>
      </c>
      <c r="AB23" s="15">
        <f t="shared" si="24"/>
        <v>11.8825</v>
      </c>
      <c r="AC23" s="15">
        <f t="shared" si="24"/>
        <v>12.512500000000001</v>
      </c>
      <c r="AD23" s="15">
        <f t="shared" si="24"/>
        <v>12.839</v>
      </c>
      <c r="AE23" s="15">
        <f t="shared" si="24"/>
        <v>12.626000000000001</v>
      </c>
      <c r="AF23" s="15">
        <f t="shared" si="24"/>
        <v>12.579000000000001</v>
      </c>
      <c r="AG23" s="15">
        <f t="shared" si="24"/>
        <v>12.4565</v>
      </c>
      <c r="AH23" s="15">
        <f t="shared" si="24"/>
        <v>0</v>
      </c>
      <c r="AI23" s="15">
        <f t="shared" ref="AI23" si="25">R23*R26</f>
        <v>0</v>
      </c>
      <c r="AJ23" s="23">
        <f>SUM(V23:AI23)</f>
        <v>126.12550000000002</v>
      </c>
      <c r="AK23" s="2">
        <v>126.12550000000002</v>
      </c>
      <c r="AM23" s="20" t="s">
        <v>55</v>
      </c>
      <c r="AN23" s="21">
        <v>10.09362</v>
      </c>
      <c r="AO23" s="15">
        <v>86.857500000000002</v>
      </c>
      <c r="AP23" s="15">
        <v>83.758340000000004</v>
      </c>
      <c r="AQ23" s="2">
        <v>73.664720000000003</v>
      </c>
      <c r="AR23" s="15">
        <f>(Table1[[#This Row],[Ipsilateral Hemisphere]]-Table1[[#This Row],[Contralateral Hemisphere]])/Table1[[#This Row],[Contralateral Hemisphere]]*100</f>
        <v>-3.5680971706530782</v>
      </c>
      <c r="AS23" s="15">
        <f>(Table1[[#This Row],[Contralateral Hemisphere]]-Table1[[#This Row],[Ipsilateral Hemisphere]])/Table1[[#This Row],[Contralateral Hemisphere]]*100</f>
        <v>3.5680971706530782</v>
      </c>
      <c r="AT23" s="15" t="str">
        <f>IF(Table1[[#This Row],[Oedema if + contraction if -]]&gt;0,"Oedema","Contraction")</f>
        <v>Contraction</v>
      </c>
      <c r="AU23" s="15">
        <f>Table1[[#This Row],[Contralateral Hemisphere]]-Table1[[#This Row],[Ipsilateral Hemisphere]]</f>
        <v>3.0991599999999977</v>
      </c>
      <c r="AV23" s="7">
        <v>9</v>
      </c>
      <c r="AW23" s="7">
        <v>4</v>
      </c>
      <c r="AX23" s="7">
        <f>Table1[[#This Row],['#sections of lesion]]-Table1[[#This Row],[cortex]]</f>
        <v>5</v>
      </c>
      <c r="AY23" s="7">
        <v>9</v>
      </c>
    </row>
    <row r="24" spans="1:51" ht="16.2" thickBot="1" x14ac:dyDescent="0.35">
      <c r="A24" s="21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S24" s="217"/>
      <c r="T24" s="6"/>
      <c r="U24" s="24" t="s">
        <v>115</v>
      </c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19">
        <f>(AJ21-AJ22)/AJ21*100</f>
        <v>2.7280899215905534</v>
      </c>
      <c r="AK24" s="2">
        <v>2.7280899215905534</v>
      </c>
      <c r="AM24" s="20" t="s">
        <v>68</v>
      </c>
      <c r="AN24" s="21">
        <v>7.260180000000001</v>
      </c>
      <c r="AO24" s="15">
        <v>124.71525999999999</v>
      </c>
      <c r="AP24" s="15">
        <v>125.31728</v>
      </c>
      <c r="AQ24" s="2">
        <v>118.05709999999999</v>
      </c>
      <c r="AR24" s="15">
        <f>(Table1[[#This Row],[Ipsilateral Hemisphere]]-Table1[[#This Row],[Contralateral Hemisphere]])/Table1[[#This Row],[Contralateral Hemisphere]]*100</f>
        <v>0.48271558749106586</v>
      </c>
      <c r="AS24" s="15">
        <f>(Table1[[#This Row],[Contralateral Hemisphere]]-Table1[[#This Row],[Ipsilateral Hemisphere]])/Table1[[#This Row],[Contralateral Hemisphere]]*100</f>
        <v>-0.48271558749106586</v>
      </c>
      <c r="AT24" s="15" t="str">
        <f>IF(Table1[[#This Row],[Oedema if + contraction if -]]&gt;0,"Oedema","Contraction")</f>
        <v>Oedema</v>
      </c>
      <c r="AU24" s="15">
        <f>Table1[[#This Row],[Contralateral Hemisphere]]-Table1[[#This Row],[Ipsilateral Hemisphere]]</f>
        <v>-0.60202000000001021</v>
      </c>
      <c r="AV24" s="7">
        <v>9</v>
      </c>
      <c r="AW24" s="7">
        <v>9</v>
      </c>
      <c r="AX24" s="7">
        <f>Table1[[#This Row],['#sections of lesion]]-Table1[[#This Row],[cortex]]</f>
        <v>0</v>
      </c>
      <c r="AY24" s="7">
        <v>11</v>
      </c>
    </row>
    <row r="25" spans="1:51" ht="16.2" thickBot="1" x14ac:dyDescent="0.35">
      <c r="A25" s="21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S25" s="217"/>
      <c r="T25" s="6"/>
      <c r="U25" s="24" t="s">
        <v>103</v>
      </c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19">
        <f>AJ21-AJ23</f>
        <v>6.2564999999999884</v>
      </c>
      <c r="AK25" s="2">
        <v>6.2564999999999884</v>
      </c>
      <c r="AM25" s="20" t="s">
        <v>56</v>
      </c>
      <c r="AN25" s="21">
        <v>7.7930000000000001</v>
      </c>
      <c r="AO25" s="15">
        <v>112.43104</v>
      </c>
      <c r="AP25" s="15">
        <v>115.28085999999999</v>
      </c>
      <c r="AQ25" s="2">
        <v>107.48785999999998</v>
      </c>
      <c r="AR25" s="15">
        <f>(Table1[[#This Row],[Ipsilateral Hemisphere]]-Table1[[#This Row],[Contralateral Hemisphere]])/Table1[[#This Row],[Contralateral Hemisphere]]*100</f>
        <v>2.5347270646967188</v>
      </c>
      <c r="AS25" s="15">
        <f>(Table1[[#This Row],[Contralateral Hemisphere]]-Table1[[#This Row],[Ipsilateral Hemisphere]])/Table1[[#This Row],[Contralateral Hemisphere]]*100</f>
        <v>-2.5347270646967188</v>
      </c>
      <c r="AT25" s="15" t="str">
        <f>IF(Table1[[#This Row],[Oedema if + contraction if -]]&gt;0,"Oedema","Contraction")</f>
        <v>Oedema</v>
      </c>
      <c r="AU25" s="15">
        <f>Table1[[#This Row],[Contralateral Hemisphere]]-Table1[[#This Row],[Ipsilateral Hemisphere]]</f>
        <v>-2.849819999999994</v>
      </c>
      <c r="AV25" s="7">
        <v>7</v>
      </c>
      <c r="AW25" s="7">
        <v>3</v>
      </c>
      <c r="AX25" s="7">
        <f>Table1[[#This Row],['#sections of lesion]]-Table1[[#This Row],[cortex]]</f>
        <v>4</v>
      </c>
      <c r="AY25" s="7">
        <v>10</v>
      </c>
    </row>
    <row r="26" spans="1:51" ht="14.25" customHeight="1" thickBot="1" x14ac:dyDescent="0.35">
      <c r="A26" s="218"/>
      <c r="B26" s="2" t="s">
        <v>32</v>
      </c>
      <c r="C26" s="15">
        <v>0.5</v>
      </c>
      <c r="D26" s="15">
        <v>0.5</v>
      </c>
      <c r="E26" s="15">
        <v>0.5</v>
      </c>
      <c r="F26" s="15">
        <v>0.5</v>
      </c>
      <c r="G26" s="15">
        <v>0.5</v>
      </c>
      <c r="H26" s="15">
        <v>0.5</v>
      </c>
      <c r="I26" s="15">
        <v>0.5</v>
      </c>
      <c r="J26" s="15">
        <v>0.5</v>
      </c>
      <c r="K26" s="15">
        <v>0.5</v>
      </c>
      <c r="L26" s="15">
        <v>0.5</v>
      </c>
      <c r="M26" s="15">
        <v>0.5</v>
      </c>
      <c r="N26" s="15">
        <v>0.5</v>
      </c>
      <c r="O26" s="15"/>
      <c r="P26" s="15"/>
      <c r="Q26" s="15"/>
      <c r="R26" s="16"/>
      <c r="S26" s="218"/>
      <c r="T26" s="6"/>
      <c r="U26" s="8" t="s">
        <v>97</v>
      </c>
      <c r="V26" s="221" t="s">
        <v>119</v>
      </c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2"/>
      <c r="AJ26" s="26"/>
      <c r="AM26" s="20" t="s">
        <v>60</v>
      </c>
      <c r="AN26" s="21">
        <v>10.923039999999999</v>
      </c>
      <c r="AO26" s="15">
        <v>106.82897999999999</v>
      </c>
      <c r="AP26" s="15">
        <v>105.31581999999999</v>
      </c>
      <c r="AQ26" s="2">
        <v>94.392780000000002</v>
      </c>
      <c r="AR26" s="15">
        <f>(Table1[[#This Row],[Ipsilateral Hemisphere]]-Table1[[#This Row],[Contralateral Hemisphere]])/Table1[[#This Row],[Contralateral Hemisphere]]*100</f>
        <v>-1.4164321329287233</v>
      </c>
      <c r="AS26" s="15">
        <f>(Table1[[#This Row],[Contralateral Hemisphere]]-Table1[[#This Row],[Ipsilateral Hemisphere]])/Table1[[#This Row],[Contralateral Hemisphere]]*100</f>
        <v>1.4164321329287233</v>
      </c>
      <c r="AT26" s="15" t="str">
        <f>IF(Table1[[#This Row],[Oedema if + contraction if -]]&gt;0,"Oedema","Contraction")</f>
        <v>Contraction</v>
      </c>
      <c r="AU26" s="15">
        <f>Table1[[#This Row],[Contralateral Hemisphere]]-Table1[[#This Row],[Ipsilateral Hemisphere]]</f>
        <v>1.5131599999999992</v>
      </c>
      <c r="AV26" s="7">
        <v>10</v>
      </c>
      <c r="AW26" s="7">
        <v>8</v>
      </c>
      <c r="AX26" s="7">
        <f>Table1[[#This Row],['#sections of lesion]]-Table1[[#This Row],[cortex]]</f>
        <v>2</v>
      </c>
      <c r="AY26" s="7">
        <v>10</v>
      </c>
    </row>
    <row r="27" spans="1:51" ht="15.75" customHeight="1" thickBot="1" x14ac:dyDescent="0.35">
      <c r="A27" s="216" t="s">
        <v>120</v>
      </c>
      <c r="B27" s="13" t="s">
        <v>98</v>
      </c>
      <c r="C27" s="14">
        <v>0</v>
      </c>
      <c r="D27" s="14">
        <v>0.33500000000000002</v>
      </c>
      <c r="E27" s="14">
        <v>1.6990000000000001</v>
      </c>
      <c r="F27" s="14">
        <v>2.4260000000000002</v>
      </c>
      <c r="G27" s="14">
        <v>3.0329999999999999</v>
      </c>
      <c r="H27" s="14">
        <v>3.1040000000000001</v>
      </c>
      <c r="I27" s="14">
        <v>3.6269999999999998</v>
      </c>
      <c r="J27" s="14">
        <v>3.4409999999999998</v>
      </c>
      <c r="K27" s="14">
        <v>2.5920000000000001</v>
      </c>
      <c r="L27" s="14">
        <v>1.6919999999999999</v>
      </c>
      <c r="M27" s="14">
        <v>0.71500000000000008</v>
      </c>
      <c r="N27" s="14">
        <v>0</v>
      </c>
      <c r="O27" s="14"/>
      <c r="P27" s="15" t="s">
        <v>109</v>
      </c>
      <c r="Q27" s="16">
        <f>COUNTIF(C27:N27, "&gt;0" )</f>
        <v>10</v>
      </c>
      <c r="S27" s="216" t="s">
        <v>120</v>
      </c>
      <c r="T27" s="216" t="s">
        <v>2</v>
      </c>
      <c r="U27" s="17" t="s">
        <v>98</v>
      </c>
      <c r="V27" s="18">
        <f t="shared" ref="V27:AH27" si="26">C27*C34</f>
        <v>0</v>
      </c>
      <c r="W27" s="18">
        <f t="shared" si="26"/>
        <v>0.16750000000000001</v>
      </c>
      <c r="X27" s="18">
        <f t="shared" si="26"/>
        <v>0.88348000000000004</v>
      </c>
      <c r="Y27" s="18">
        <f t="shared" si="26"/>
        <v>1.16448</v>
      </c>
      <c r="Z27" s="18">
        <f t="shared" si="26"/>
        <v>1.5165</v>
      </c>
      <c r="AA27" s="18">
        <f t="shared" si="26"/>
        <v>1.552</v>
      </c>
      <c r="AB27" s="18">
        <f t="shared" si="26"/>
        <v>1.8860399999999999</v>
      </c>
      <c r="AC27" s="18">
        <f t="shared" si="26"/>
        <v>1.6516799999999998</v>
      </c>
      <c r="AD27" s="18">
        <f t="shared" si="26"/>
        <v>1.296</v>
      </c>
      <c r="AE27" s="18">
        <f t="shared" si="26"/>
        <v>0.84599999999999997</v>
      </c>
      <c r="AF27" s="18">
        <f t="shared" si="26"/>
        <v>0.40040000000000009</v>
      </c>
      <c r="AG27" s="18">
        <f t="shared" si="26"/>
        <v>0</v>
      </c>
      <c r="AH27" s="18">
        <f t="shared" si="26"/>
        <v>0</v>
      </c>
      <c r="AI27" s="18">
        <f t="shared" ref="AI27" si="27">R27*R34</f>
        <v>0</v>
      </c>
      <c r="AJ27" s="19">
        <f>SUM(V27:AI27)</f>
        <v>11.36408</v>
      </c>
      <c r="AK27" s="2">
        <v>11.36408</v>
      </c>
      <c r="AM27" s="20" t="s">
        <v>61</v>
      </c>
      <c r="AN27" s="21">
        <v>12.09816</v>
      </c>
      <c r="AO27" s="15">
        <v>116.11998</v>
      </c>
      <c r="AP27" s="15">
        <v>114.00224000000001</v>
      </c>
      <c r="AQ27" s="2">
        <v>101.90408000000001</v>
      </c>
      <c r="AR27" s="15">
        <f>(Table1[[#This Row],[Ipsilateral Hemisphere]]-Table1[[#This Row],[Contralateral Hemisphere]])/Table1[[#This Row],[Contralateral Hemisphere]]*100</f>
        <v>-1.8237516058821088</v>
      </c>
      <c r="AS27" s="15">
        <f>(Table1[[#This Row],[Contralateral Hemisphere]]-Table1[[#This Row],[Ipsilateral Hemisphere]])/Table1[[#This Row],[Contralateral Hemisphere]]*100</f>
        <v>1.8237516058821088</v>
      </c>
      <c r="AT27" s="15" t="str">
        <f>IF(Table1[[#This Row],[Oedema if + contraction if -]]&gt;0,"Oedema","Contraction")</f>
        <v>Contraction</v>
      </c>
      <c r="AU27" s="15">
        <f>Table1[[#This Row],[Contralateral Hemisphere]]-Table1[[#This Row],[Ipsilateral Hemisphere]]</f>
        <v>2.1177399999999835</v>
      </c>
      <c r="AV27" s="7">
        <v>9</v>
      </c>
      <c r="AW27" s="7">
        <v>7</v>
      </c>
      <c r="AX27" s="7">
        <f>Table1[[#This Row],['#sections of lesion]]-Table1[[#This Row],[cortex]]</f>
        <v>2</v>
      </c>
      <c r="AY27" s="7">
        <v>10</v>
      </c>
    </row>
    <row r="28" spans="1:51" ht="15.75" customHeight="1" thickBot="1" x14ac:dyDescent="0.35">
      <c r="A28" s="217"/>
      <c r="B28" s="2" t="s">
        <v>110</v>
      </c>
      <c r="C28" s="15"/>
      <c r="D28" s="15" t="s">
        <v>111</v>
      </c>
      <c r="E28" s="15" t="s">
        <v>111</v>
      </c>
      <c r="F28" s="15" t="s">
        <v>111</v>
      </c>
      <c r="G28" s="15" t="s">
        <v>121</v>
      </c>
      <c r="H28" s="15" t="s">
        <v>112</v>
      </c>
      <c r="I28" s="15" t="s">
        <v>121</v>
      </c>
      <c r="J28" s="15" t="s">
        <v>112</v>
      </c>
      <c r="K28" s="15" t="s">
        <v>112</v>
      </c>
      <c r="L28" s="15" t="s">
        <v>111</v>
      </c>
      <c r="M28" s="15" t="s">
        <v>111</v>
      </c>
      <c r="N28" s="15"/>
      <c r="O28" s="15"/>
      <c r="P28" s="15" t="s">
        <v>105</v>
      </c>
      <c r="Q28" s="15">
        <f>COUNTIF(C28:N28,"Cortex")</f>
        <v>5</v>
      </c>
      <c r="S28" s="217"/>
      <c r="T28" s="217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23"/>
      <c r="AM28" s="20" t="s">
        <v>62</v>
      </c>
      <c r="AN28" s="21">
        <v>14.946620000000001</v>
      </c>
      <c r="AO28" s="15">
        <v>127.75080000000001</v>
      </c>
      <c r="AP28" s="15">
        <v>123.24526000000002</v>
      </c>
      <c r="AQ28" s="2">
        <v>108.29863999999999</v>
      </c>
      <c r="AR28" s="15">
        <f>(Table1[[#This Row],[Ipsilateral Hemisphere]]-Table1[[#This Row],[Contralateral Hemisphere]])/Table1[[#This Row],[Contralateral Hemisphere]]*100</f>
        <v>-3.5268194015223351</v>
      </c>
      <c r="AS28" s="15">
        <f>(Table1[[#This Row],[Contralateral Hemisphere]]-Table1[[#This Row],[Ipsilateral Hemisphere]])/Table1[[#This Row],[Contralateral Hemisphere]]*100</f>
        <v>3.5268194015223351</v>
      </c>
      <c r="AT28" s="15" t="str">
        <f>IF(Table1[[#This Row],[Oedema if + contraction if -]]&gt;0,"Oedema","Contraction")</f>
        <v>Contraction</v>
      </c>
      <c r="AU28" s="15">
        <f>Table1[[#This Row],[Contralateral Hemisphere]]-Table1[[#This Row],[Ipsilateral Hemisphere]]</f>
        <v>4.5055399999999963</v>
      </c>
      <c r="AV28" s="7">
        <v>11</v>
      </c>
      <c r="AW28" s="7">
        <v>4</v>
      </c>
      <c r="AX28" s="7">
        <f>Table1[[#This Row],['#sections of lesion]]-Table1[[#This Row],[cortex]]</f>
        <v>7</v>
      </c>
      <c r="AY28" s="7">
        <v>11</v>
      </c>
    </row>
    <row r="29" spans="1:51" ht="15.75" customHeight="1" thickBot="1" x14ac:dyDescent="0.35">
      <c r="A29" s="217"/>
      <c r="B29" s="2" t="s">
        <v>99</v>
      </c>
      <c r="C29" s="15">
        <v>8.8439999999999994</v>
      </c>
      <c r="D29" s="15">
        <v>12.307</v>
      </c>
      <c r="E29" s="15">
        <v>14.648</v>
      </c>
      <c r="F29" s="15">
        <v>17.106999999999999</v>
      </c>
      <c r="G29" s="15">
        <v>19.064</v>
      </c>
      <c r="H29" s="15">
        <v>20.515999999999998</v>
      </c>
      <c r="I29" s="15">
        <v>21.91</v>
      </c>
      <c r="J29" s="15">
        <v>22.684000000000001</v>
      </c>
      <c r="K29" s="15">
        <v>14.212000000000002</v>
      </c>
      <c r="L29" s="15">
        <v>24.434000000000001</v>
      </c>
      <c r="M29" s="15">
        <v>25.637</v>
      </c>
      <c r="N29" s="15"/>
      <c r="O29" s="15"/>
      <c r="P29" s="15" t="s">
        <v>106</v>
      </c>
      <c r="Q29" s="15">
        <f t="shared" ref="Q29" si="28">Q27-Q28</f>
        <v>5</v>
      </c>
      <c r="S29" s="217"/>
      <c r="T29" s="217"/>
      <c r="U29" s="8" t="s">
        <v>99</v>
      </c>
      <c r="V29" s="15">
        <f t="shared" ref="V29:AH29" si="29">C29*C34</f>
        <v>4.4219999999999997</v>
      </c>
      <c r="W29" s="15">
        <f t="shared" si="29"/>
        <v>6.1535000000000002</v>
      </c>
      <c r="X29" s="15">
        <f t="shared" si="29"/>
        <v>7.6169599999999997</v>
      </c>
      <c r="Y29" s="15">
        <f t="shared" si="29"/>
        <v>8.2113599999999991</v>
      </c>
      <c r="Z29" s="15">
        <f t="shared" si="29"/>
        <v>9.532</v>
      </c>
      <c r="AA29" s="15">
        <f t="shared" si="29"/>
        <v>10.257999999999999</v>
      </c>
      <c r="AB29" s="15">
        <f t="shared" si="29"/>
        <v>11.3932</v>
      </c>
      <c r="AC29" s="15">
        <f t="shared" si="29"/>
        <v>10.88832</v>
      </c>
      <c r="AD29" s="15">
        <f t="shared" si="29"/>
        <v>7.1060000000000008</v>
      </c>
      <c r="AE29" s="15">
        <f t="shared" si="29"/>
        <v>12.217000000000001</v>
      </c>
      <c r="AF29" s="15">
        <f t="shared" si="29"/>
        <v>14.356720000000001</v>
      </c>
      <c r="AG29" s="15">
        <f t="shared" si="29"/>
        <v>0</v>
      </c>
      <c r="AH29" s="15">
        <f t="shared" si="29"/>
        <v>0</v>
      </c>
      <c r="AI29" s="15">
        <f t="shared" ref="AI29" si="30">R29*R34</f>
        <v>0</v>
      </c>
      <c r="AJ29" s="23">
        <f>SUM(V29:AI29)</f>
        <v>102.15505999999999</v>
      </c>
      <c r="AK29" s="2">
        <v>102.15505999999999</v>
      </c>
      <c r="AM29" s="20" t="s">
        <v>63</v>
      </c>
      <c r="AN29" s="21">
        <v>10.09498</v>
      </c>
      <c r="AO29" s="15">
        <v>92.686120000000003</v>
      </c>
      <c r="AP29" s="15">
        <v>93.830680000000001</v>
      </c>
      <c r="AQ29" s="2">
        <v>83.735700000000008</v>
      </c>
      <c r="AR29" s="15">
        <f>(Table1[[#This Row],[Ipsilateral Hemisphere]]-Table1[[#This Row],[Contralateral Hemisphere]])/Table1[[#This Row],[Contralateral Hemisphere]]*100</f>
        <v>1.2348774552219883</v>
      </c>
      <c r="AS29" s="15">
        <f>(Table1[[#This Row],[Contralateral Hemisphere]]-Table1[[#This Row],[Ipsilateral Hemisphere]])/Table1[[#This Row],[Contralateral Hemisphere]]*100</f>
        <v>-1.2348774552219883</v>
      </c>
      <c r="AT29" s="15" t="str">
        <f>IF(Table1[[#This Row],[Oedema if + contraction if -]]&gt;0,"Oedema","Contraction")</f>
        <v>Oedema</v>
      </c>
      <c r="AU29" s="15">
        <f>Table1[[#This Row],[Contralateral Hemisphere]]-Table1[[#This Row],[Ipsilateral Hemisphere]]</f>
        <v>-1.1445599999999985</v>
      </c>
      <c r="AV29" s="7">
        <v>8</v>
      </c>
      <c r="AW29" s="7">
        <v>8</v>
      </c>
      <c r="AX29" s="7">
        <f>Table1[[#This Row],['#sections of lesion]]-Table1[[#This Row],[cortex]]</f>
        <v>0</v>
      </c>
      <c r="AY29" s="7">
        <v>9</v>
      </c>
    </row>
    <row r="30" spans="1:51" ht="17.25" customHeight="1" thickBot="1" x14ac:dyDescent="0.35">
      <c r="A30" s="217"/>
      <c r="B30" s="2" t="s">
        <v>100</v>
      </c>
      <c r="C30" s="15">
        <v>9.452</v>
      </c>
      <c r="D30" s="15">
        <v>13.206</v>
      </c>
      <c r="E30" s="15">
        <v>15.425000000000001</v>
      </c>
      <c r="F30" s="15">
        <v>17.21</v>
      </c>
      <c r="G30" s="15">
        <v>19.875</v>
      </c>
      <c r="H30" s="15">
        <v>21.068000000000001</v>
      </c>
      <c r="I30" s="15">
        <v>21.975000000000001</v>
      </c>
      <c r="J30" s="15">
        <v>23.443999999999999</v>
      </c>
      <c r="K30" s="15">
        <v>23.202999999999999</v>
      </c>
      <c r="L30" s="15">
        <v>24.175999999999998</v>
      </c>
      <c r="M30" s="15">
        <v>24.384</v>
      </c>
      <c r="N30" s="15"/>
      <c r="O30" s="15"/>
      <c r="P30" s="15" t="s">
        <v>113</v>
      </c>
      <c r="Q30" s="16">
        <f>COUNTIF(C27:O27, "&gt;=0" )</f>
        <v>12</v>
      </c>
      <c r="S30" s="217"/>
      <c r="T30" s="217"/>
      <c r="U30" s="8" t="s">
        <v>100</v>
      </c>
      <c r="V30" s="15">
        <f t="shared" ref="V30:AH30" si="31">C30*C34</f>
        <v>4.726</v>
      </c>
      <c r="W30" s="15">
        <f t="shared" si="31"/>
        <v>6.6029999999999998</v>
      </c>
      <c r="X30" s="15">
        <f t="shared" si="31"/>
        <v>8.0210000000000008</v>
      </c>
      <c r="Y30" s="15">
        <f t="shared" si="31"/>
        <v>8.2607999999999997</v>
      </c>
      <c r="Z30" s="15">
        <f t="shared" si="31"/>
        <v>9.9375</v>
      </c>
      <c r="AA30" s="15">
        <f t="shared" si="31"/>
        <v>10.534000000000001</v>
      </c>
      <c r="AB30" s="15">
        <f t="shared" si="31"/>
        <v>11.427000000000001</v>
      </c>
      <c r="AC30" s="15">
        <f t="shared" si="31"/>
        <v>11.253119999999999</v>
      </c>
      <c r="AD30" s="15">
        <f t="shared" si="31"/>
        <v>11.6015</v>
      </c>
      <c r="AE30" s="15">
        <f t="shared" si="31"/>
        <v>12.087999999999999</v>
      </c>
      <c r="AF30" s="15">
        <f t="shared" si="31"/>
        <v>13.655040000000001</v>
      </c>
      <c r="AG30" s="15">
        <f t="shared" si="31"/>
        <v>0</v>
      </c>
      <c r="AH30" s="15">
        <f t="shared" si="31"/>
        <v>0</v>
      </c>
      <c r="AI30" s="15">
        <f t="shared" ref="AI30" si="32">R30*R34</f>
        <v>0</v>
      </c>
      <c r="AJ30" s="23">
        <f>SUM(V30:AI30)</f>
        <v>108.10695999999999</v>
      </c>
      <c r="AK30" s="2">
        <v>108.10695999999999</v>
      </c>
      <c r="AM30" s="20" t="s">
        <v>64</v>
      </c>
      <c r="AN30" s="21">
        <v>8.7395800000000001</v>
      </c>
      <c r="AO30" s="15">
        <v>100.49518</v>
      </c>
      <c r="AP30" s="15">
        <v>91.897539999999978</v>
      </c>
      <c r="AQ30" s="2">
        <v>83.157959999999989</v>
      </c>
      <c r="AR30" s="15">
        <f>(Table1[[#This Row],[Ipsilateral Hemisphere]]-Table1[[#This Row],[Contralateral Hemisphere]])/Table1[[#This Row],[Contralateral Hemisphere]]*100</f>
        <v>-8.5552759843805717</v>
      </c>
      <c r="AS30" s="15">
        <f>(Table1[[#This Row],[Contralateral Hemisphere]]-Table1[[#This Row],[Ipsilateral Hemisphere]])/Table1[[#This Row],[Contralateral Hemisphere]]*100</f>
        <v>8.5552759843805717</v>
      </c>
      <c r="AT30" s="15" t="str">
        <f>IF(Table1[[#This Row],[Oedema if + contraction if -]]&gt;0,"Oedema","Contraction")</f>
        <v>Contraction</v>
      </c>
      <c r="AU30" s="15">
        <f>Table1[[#This Row],[Contralateral Hemisphere]]-Table1[[#This Row],[Ipsilateral Hemisphere]]</f>
        <v>8.5976400000000268</v>
      </c>
      <c r="AV30" s="7">
        <v>8</v>
      </c>
      <c r="AW30" s="7">
        <v>6</v>
      </c>
      <c r="AX30" s="7">
        <f>Table1[[#This Row],['#sections of lesion]]-Table1[[#This Row],[cortex]]</f>
        <v>2</v>
      </c>
      <c r="AY30" s="7">
        <v>9</v>
      </c>
    </row>
    <row r="31" spans="1:51" ht="16.2" thickBot="1" x14ac:dyDescent="0.35">
      <c r="A31" s="6"/>
      <c r="B31" s="2" t="s">
        <v>114</v>
      </c>
      <c r="C31" s="15">
        <v>9.452</v>
      </c>
      <c r="D31" s="15">
        <v>12.870999999999999</v>
      </c>
      <c r="E31" s="15">
        <v>13.726000000000001</v>
      </c>
      <c r="F31" s="15">
        <v>14.784000000000001</v>
      </c>
      <c r="G31" s="15">
        <v>16.841999999999999</v>
      </c>
      <c r="H31" s="15">
        <v>17.964000000000002</v>
      </c>
      <c r="I31" s="15">
        <v>18.348000000000003</v>
      </c>
      <c r="J31" s="15">
        <v>20.003</v>
      </c>
      <c r="K31" s="15">
        <v>20.611000000000001</v>
      </c>
      <c r="L31" s="15">
        <v>22.483999999999998</v>
      </c>
      <c r="M31" s="15">
        <v>23.669</v>
      </c>
      <c r="N31" s="15">
        <v>0</v>
      </c>
      <c r="O31" s="15"/>
      <c r="P31" s="15"/>
      <c r="Q31" s="15"/>
      <c r="S31" s="6"/>
      <c r="T31" s="6"/>
      <c r="U31" s="8" t="s">
        <v>101</v>
      </c>
      <c r="V31" s="15">
        <f t="shared" ref="V31:AH31" si="33">C31*C34</f>
        <v>4.726</v>
      </c>
      <c r="W31" s="15">
        <f t="shared" si="33"/>
        <v>6.4354999999999993</v>
      </c>
      <c r="X31" s="15">
        <f t="shared" si="33"/>
        <v>7.1375200000000003</v>
      </c>
      <c r="Y31" s="15">
        <f t="shared" si="33"/>
        <v>7.0963200000000004</v>
      </c>
      <c r="Z31" s="15">
        <f t="shared" si="33"/>
        <v>8.4209999999999994</v>
      </c>
      <c r="AA31" s="15">
        <f t="shared" si="33"/>
        <v>8.9820000000000011</v>
      </c>
      <c r="AB31" s="15">
        <f t="shared" si="33"/>
        <v>9.5409600000000019</v>
      </c>
      <c r="AC31" s="15">
        <f t="shared" si="33"/>
        <v>9.6014400000000002</v>
      </c>
      <c r="AD31" s="15">
        <f t="shared" si="33"/>
        <v>10.3055</v>
      </c>
      <c r="AE31" s="15">
        <f t="shared" si="33"/>
        <v>11.241999999999999</v>
      </c>
      <c r="AF31" s="15">
        <f t="shared" si="33"/>
        <v>13.254640000000002</v>
      </c>
      <c r="AG31" s="15">
        <f t="shared" si="33"/>
        <v>0</v>
      </c>
      <c r="AH31" s="15">
        <f t="shared" si="33"/>
        <v>0</v>
      </c>
      <c r="AI31" s="15">
        <f t="shared" ref="AI31" si="34">R31*R34</f>
        <v>0</v>
      </c>
      <c r="AJ31" s="23">
        <f>SUM(V31:AI31)</f>
        <v>96.742879999999985</v>
      </c>
      <c r="AK31" s="2">
        <v>96.742879999999985</v>
      </c>
      <c r="AM31" s="20" t="s">
        <v>65</v>
      </c>
      <c r="AN31" s="21">
        <v>13.80076</v>
      </c>
      <c r="AO31" s="15">
        <v>127.28834000000003</v>
      </c>
      <c r="AP31" s="15">
        <v>132.3031</v>
      </c>
      <c r="AQ31" s="2">
        <v>118.50233999999999</v>
      </c>
      <c r="AR31" s="15">
        <f>(Table1[[#This Row],[Ipsilateral Hemisphere]]-Table1[[#This Row],[Contralateral Hemisphere]])/Table1[[#This Row],[Contralateral Hemisphere]]*100</f>
        <v>3.9396852846065604</v>
      </c>
      <c r="AS31" s="15">
        <f>(Table1[[#This Row],[Contralateral Hemisphere]]-Table1[[#This Row],[Ipsilateral Hemisphere]])/Table1[[#This Row],[Contralateral Hemisphere]]*100</f>
        <v>-3.9396852846065604</v>
      </c>
      <c r="AT31" s="15" t="str">
        <f>IF(Table1[[#This Row],[Oedema if + contraction if -]]&gt;0,"Oedema","Contraction")</f>
        <v>Oedema</v>
      </c>
      <c r="AU31" s="15">
        <f>Table1[[#This Row],[Contralateral Hemisphere]]-Table1[[#This Row],[Ipsilateral Hemisphere]]</f>
        <v>-5.014759999999967</v>
      </c>
      <c r="AV31" s="7">
        <v>11</v>
      </c>
      <c r="AW31" s="7">
        <v>9</v>
      </c>
      <c r="AX31" s="7">
        <f>Table1[[#This Row],['#sections of lesion]]-Table1[[#This Row],[cortex]]</f>
        <v>2</v>
      </c>
      <c r="AY31" s="7">
        <v>12</v>
      </c>
    </row>
    <row r="32" spans="1:51" ht="16.2" thickBot="1" x14ac:dyDescent="0.35">
      <c r="A32" s="6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S32" s="6"/>
      <c r="T32" s="6"/>
      <c r="U32" s="24" t="s">
        <v>115</v>
      </c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19">
        <f>(AJ29-AJ30)/AJ29*100</f>
        <v>-5.8263389008826341</v>
      </c>
      <c r="AK32" s="2">
        <v>-5.8263389008826341</v>
      </c>
      <c r="AM32" s="20" t="s">
        <v>66</v>
      </c>
      <c r="AN32" s="21">
        <v>4.6977400000000005</v>
      </c>
      <c r="AO32" s="15">
        <v>93.108319999999992</v>
      </c>
      <c r="AP32" s="15">
        <v>93.341660000000005</v>
      </c>
      <c r="AQ32" s="2">
        <v>88.643920000000008</v>
      </c>
      <c r="AR32" s="15">
        <f>(Table1[[#This Row],[Ipsilateral Hemisphere]]-Table1[[#This Row],[Contralateral Hemisphere]])/Table1[[#This Row],[Contralateral Hemisphere]]*100</f>
        <v>0.25061133097451715</v>
      </c>
      <c r="AS32" s="15">
        <f>(Table1[[#This Row],[Contralateral Hemisphere]]-Table1[[#This Row],[Ipsilateral Hemisphere]])/Table1[[#This Row],[Contralateral Hemisphere]]*100</f>
        <v>-0.25061133097451715</v>
      </c>
      <c r="AT32" s="15" t="str">
        <f>IF(Table1[[#This Row],[Oedema if + contraction if -]]&gt;0,"Oedema","Contraction")</f>
        <v>Oedema</v>
      </c>
      <c r="AU32" s="15">
        <f>Table1[[#This Row],[Contralateral Hemisphere]]-Table1[[#This Row],[Ipsilateral Hemisphere]]</f>
        <v>-0.23334000000001254</v>
      </c>
      <c r="AV32" s="7">
        <v>6</v>
      </c>
      <c r="AW32" s="7">
        <v>6</v>
      </c>
      <c r="AX32" s="7">
        <f>Table1[[#This Row],['#sections of lesion]]-Table1[[#This Row],[cortex]]</f>
        <v>0</v>
      </c>
      <c r="AY32" s="7">
        <v>8</v>
      </c>
    </row>
    <row r="33" spans="1:51" ht="16.2" thickBot="1" x14ac:dyDescent="0.35">
      <c r="A33" s="6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S33" s="6"/>
      <c r="T33" s="6"/>
      <c r="U33" s="24" t="s">
        <v>103</v>
      </c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19">
        <f>AJ29-AJ31</f>
        <v>5.4121800000000064</v>
      </c>
      <c r="AK33" s="2">
        <v>5.4121800000000064</v>
      </c>
      <c r="AM33" s="20" t="s">
        <v>67</v>
      </c>
      <c r="AN33" s="21">
        <v>16.025400000000001</v>
      </c>
      <c r="AO33" s="15">
        <v>109.49054000000001</v>
      </c>
      <c r="AP33" s="15">
        <v>115.15541999999999</v>
      </c>
      <c r="AQ33" s="15">
        <v>99.130020000000002</v>
      </c>
      <c r="AR33" s="15">
        <f>(Table1[[#This Row],[Ipsilateral Hemisphere]]-Table1[[#This Row],[Contralateral Hemisphere]])/Table1[[#This Row],[Contralateral Hemisphere]]*100</f>
        <v>5.1738533758258765</v>
      </c>
      <c r="AS33" s="15">
        <f>(Table1[[#This Row],[Contralateral Hemisphere]]-Table1[[#This Row],[Ipsilateral Hemisphere]])/Table1[[#This Row],[Contralateral Hemisphere]]*100</f>
        <v>-5.1738533758258765</v>
      </c>
      <c r="AT33" s="15" t="str">
        <f>IF(Table1[[#This Row],[Oedema if + contraction if -]]&gt;0,"Oedema","Contraction")</f>
        <v>Oedema</v>
      </c>
      <c r="AU33" s="15">
        <f>Table1[[#This Row],[Contralateral Hemisphere]]-Table1[[#This Row],[Ipsilateral Hemisphere]]</f>
        <v>-5.6648799999999824</v>
      </c>
      <c r="AV33" s="7">
        <v>10</v>
      </c>
      <c r="AW33" s="7">
        <v>5</v>
      </c>
      <c r="AX33" s="7">
        <f>Table1[[#This Row],['#sections of lesion]]-Table1[[#This Row],[cortex]]</f>
        <v>5</v>
      </c>
      <c r="AY33" s="7">
        <v>10</v>
      </c>
    </row>
    <row r="34" spans="1:51" ht="14.25" customHeight="1" thickBot="1" x14ac:dyDescent="0.35">
      <c r="A34" s="6"/>
      <c r="B34" s="2" t="s">
        <v>32</v>
      </c>
      <c r="C34" s="15">
        <v>0.5</v>
      </c>
      <c r="D34" s="15">
        <v>0.5</v>
      </c>
      <c r="E34" s="15">
        <v>0.52</v>
      </c>
      <c r="F34" s="15">
        <v>0.48</v>
      </c>
      <c r="G34" s="15">
        <v>0.5</v>
      </c>
      <c r="H34" s="15">
        <v>0.5</v>
      </c>
      <c r="I34" s="15">
        <v>0.52</v>
      </c>
      <c r="J34" s="15">
        <v>0.48</v>
      </c>
      <c r="K34" s="15">
        <v>0.5</v>
      </c>
      <c r="L34" s="15">
        <v>0.5</v>
      </c>
      <c r="M34" s="15">
        <v>0.56000000000000005</v>
      </c>
      <c r="N34" s="15">
        <v>0.44</v>
      </c>
      <c r="O34" s="15"/>
      <c r="P34" s="15"/>
      <c r="Q34" s="15"/>
      <c r="R34" s="16"/>
      <c r="S34" s="6"/>
      <c r="T34" s="6"/>
      <c r="U34" s="8" t="s">
        <v>97</v>
      </c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20"/>
      <c r="AJ34" s="26"/>
      <c r="AM34" s="20" t="s">
        <v>57</v>
      </c>
      <c r="AN34" s="21">
        <v>11.517399999999999</v>
      </c>
      <c r="AO34" s="15">
        <v>124.82594</v>
      </c>
      <c r="AP34" s="15">
        <v>117.28710000000001</v>
      </c>
      <c r="AQ34" s="15">
        <v>105.7697</v>
      </c>
      <c r="AR34" s="15">
        <f>(Table1[[#This Row],[Ipsilateral Hemisphere]]-Table1[[#This Row],[Contralateral Hemisphere]])/Table1[[#This Row],[Contralateral Hemisphere]]*100</f>
        <v>-6.0394818576972007</v>
      </c>
      <c r="AS34" s="15">
        <f>(Table1[[#This Row],[Contralateral Hemisphere]]-Table1[[#This Row],[Ipsilateral Hemisphere]])/Table1[[#This Row],[Contralateral Hemisphere]]*100</f>
        <v>6.0394818576972007</v>
      </c>
      <c r="AT34" s="15" t="str">
        <f>IF(Table1[[#This Row],[Oedema if + contraction if -]]&gt;0,"Oedema","Contraction")</f>
        <v>Contraction</v>
      </c>
      <c r="AU34" s="15">
        <f>Table1[[#This Row],[Contralateral Hemisphere]]-Table1[[#This Row],[Ipsilateral Hemisphere]]</f>
        <v>7.5388399999999933</v>
      </c>
      <c r="AV34" s="7">
        <v>10</v>
      </c>
      <c r="AW34" s="7">
        <v>6</v>
      </c>
      <c r="AX34" s="7">
        <f>Table1[[#This Row],['#sections of lesion]]-Table1[[#This Row],[cortex]]</f>
        <v>4</v>
      </c>
      <c r="AY34" s="7">
        <v>12</v>
      </c>
    </row>
    <row r="35" spans="1:51" ht="15.75" customHeight="1" thickBot="1" x14ac:dyDescent="0.35">
      <c r="A35" s="216" t="s">
        <v>122</v>
      </c>
      <c r="B35" s="13" t="s">
        <v>98</v>
      </c>
      <c r="C35" s="14">
        <v>0</v>
      </c>
      <c r="D35" s="14">
        <v>0</v>
      </c>
      <c r="E35" s="14">
        <v>0</v>
      </c>
      <c r="F35" s="14">
        <v>0.69399999999999995</v>
      </c>
      <c r="G35" s="14">
        <v>2.8319999999999999</v>
      </c>
      <c r="H35" s="14">
        <v>3.5950000000000002</v>
      </c>
      <c r="I35" s="14">
        <v>3.746</v>
      </c>
      <c r="J35" s="14">
        <v>3.3439999999999999</v>
      </c>
      <c r="K35" s="14">
        <v>2.9830000000000001</v>
      </c>
      <c r="L35" s="14">
        <v>2.8450000000000002</v>
      </c>
      <c r="M35" s="14">
        <v>1.798</v>
      </c>
      <c r="N35" s="14">
        <v>0.40500000000000003</v>
      </c>
      <c r="O35" s="14"/>
      <c r="P35" s="15" t="s">
        <v>109</v>
      </c>
      <c r="Q35" s="16">
        <f>COUNTIF(C35:N35, "&gt;0" )</f>
        <v>9</v>
      </c>
      <c r="S35" s="216" t="s">
        <v>122</v>
      </c>
      <c r="T35" s="216" t="s">
        <v>2</v>
      </c>
      <c r="U35" s="17" t="s">
        <v>98</v>
      </c>
      <c r="V35" s="18">
        <f t="shared" ref="V35:AH35" si="35">C35*C42</f>
        <v>0</v>
      </c>
      <c r="W35" s="18">
        <f t="shared" si="35"/>
        <v>0</v>
      </c>
      <c r="X35" s="18">
        <f t="shared" si="35"/>
        <v>0</v>
      </c>
      <c r="Y35" s="18">
        <f t="shared" si="35"/>
        <v>0.37475999999999998</v>
      </c>
      <c r="Z35" s="18">
        <f t="shared" si="35"/>
        <v>1.4159999999999999</v>
      </c>
      <c r="AA35" s="18">
        <f t="shared" si="35"/>
        <v>1.6537000000000002</v>
      </c>
      <c r="AB35" s="18">
        <f t="shared" si="35"/>
        <v>1.873</v>
      </c>
      <c r="AC35" s="18">
        <f t="shared" si="35"/>
        <v>1.6719999999999999</v>
      </c>
      <c r="AD35" s="18">
        <f t="shared" si="35"/>
        <v>1.4915</v>
      </c>
      <c r="AE35" s="18">
        <f t="shared" si="35"/>
        <v>1.4225000000000001</v>
      </c>
      <c r="AF35" s="18">
        <f t="shared" si="35"/>
        <v>0.89900000000000002</v>
      </c>
      <c r="AG35" s="18">
        <f t="shared" si="35"/>
        <v>0.20250000000000001</v>
      </c>
      <c r="AH35" s="18">
        <f t="shared" si="35"/>
        <v>0</v>
      </c>
      <c r="AI35" s="18">
        <f t="shared" ref="AI35" si="36">R35*R42</f>
        <v>0</v>
      </c>
      <c r="AJ35" s="19">
        <f>SUM(V35:AI35)</f>
        <v>11.004960000000001</v>
      </c>
      <c r="AK35" s="2">
        <v>11.004960000000001</v>
      </c>
      <c r="AM35" s="20" t="s">
        <v>58</v>
      </c>
      <c r="AN35" s="21">
        <v>13.162479999999999</v>
      </c>
      <c r="AO35" s="15">
        <v>130.44923999999997</v>
      </c>
      <c r="AP35" s="15">
        <v>125.13432</v>
      </c>
      <c r="AQ35" s="15">
        <v>100.82234000000001</v>
      </c>
      <c r="AR35" s="15">
        <f>(Table1[[#This Row],[Ipsilateral Hemisphere]]-Table1[[#This Row],[Contralateral Hemisphere]])/Table1[[#This Row],[Contralateral Hemisphere]]*100</f>
        <v>-4.0743204023265855</v>
      </c>
      <c r="AS35" s="15">
        <f>(Table1[[#This Row],[Contralateral Hemisphere]]-Table1[[#This Row],[Ipsilateral Hemisphere]])/Table1[[#This Row],[Contralateral Hemisphere]]*100</f>
        <v>4.0743204023265855</v>
      </c>
      <c r="AT35" s="15" t="str">
        <f>IF(Table1[[#This Row],[Oedema if + contraction if -]]&gt;0,"Oedema","Contraction")</f>
        <v>Contraction</v>
      </c>
      <c r="AU35" s="15">
        <f>Table1[[#This Row],[Contralateral Hemisphere]]-Table1[[#This Row],[Ipsilateral Hemisphere]]</f>
        <v>5.3149199999999723</v>
      </c>
      <c r="AV35" s="7">
        <v>11</v>
      </c>
      <c r="AW35" s="7">
        <v>7</v>
      </c>
      <c r="AX35" s="7">
        <f>Table1[[#This Row],['#sections of lesion]]-Table1[[#This Row],[cortex]]</f>
        <v>4</v>
      </c>
      <c r="AY35" s="7">
        <v>13</v>
      </c>
    </row>
    <row r="36" spans="1:51" ht="15.75" customHeight="1" thickBot="1" x14ac:dyDescent="0.35">
      <c r="A36" s="217"/>
      <c r="B36" s="2" t="s">
        <v>110</v>
      </c>
      <c r="C36" s="15"/>
      <c r="D36" s="15"/>
      <c r="E36" s="15"/>
      <c r="F36" s="15" t="s">
        <v>111</v>
      </c>
      <c r="G36" s="15" t="s">
        <v>111</v>
      </c>
      <c r="H36" s="15" t="s">
        <v>111</v>
      </c>
      <c r="I36" s="15" t="s">
        <v>111</v>
      </c>
      <c r="J36" s="15" t="s">
        <v>111</v>
      </c>
      <c r="K36" s="15" t="s">
        <v>111</v>
      </c>
      <c r="L36" s="15" t="s">
        <v>111</v>
      </c>
      <c r="M36" s="15" t="s">
        <v>111</v>
      </c>
      <c r="N36" s="15" t="s">
        <v>111</v>
      </c>
      <c r="O36" s="15"/>
      <c r="P36" s="15" t="s">
        <v>105</v>
      </c>
      <c r="Q36" s="15">
        <f>COUNTIF(C36:N36,"Cortex")</f>
        <v>9</v>
      </c>
      <c r="S36" s="217"/>
      <c r="T36" s="217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23"/>
      <c r="AM36" s="20" t="s">
        <v>59</v>
      </c>
      <c r="AN36" s="21">
        <v>6.7270800000000008</v>
      </c>
      <c r="AO36" s="15">
        <v>131.70848000000001</v>
      </c>
      <c r="AP36" s="15">
        <v>134.03601999999998</v>
      </c>
      <c r="AQ36" s="15">
        <v>127.30893999999999</v>
      </c>
      <c r="AR36" s="15">
        <f>(Table1[[#This Row],[Ipsilateral Hemisphere]]-Table1[[#This Row],[Contralateral Hemisphere]])/Table1[[#This Row],[Contralateral Hemisphere]]*100</f>
        <v>1.7671906926569729</v>
      </c>
      <c r="AS36" s="15">
        <f>(Table1[[#This Row],[Contralateral Hemisphere]]-Table1[[#This Row],[Ipsilateral Hemisphere]])/Table1[[#This Row],[Contralateral Hemisphere]]*100</f>
        <v>-1.7671906926569729</v>
      </c>
      <c r="AT36" s="15" t="str">
        <f>IF(Table1[[#This Row],[Oedema if + contraction if -]]&gt;0,"Oedema","Contraction")</f>
        <v>Oedema</v>
      </c>
      <c r="AU36" s="15">
        <f>Table1[[#This Row],[Contralateral Hemisphere]]-Table1[[#This Row],[Ipsilateral Hemisphere]]</f>
        <v>-2.3275399999999706</v>
      </c>
      <c r="AV36" s="7">
        <v>10</v>
      </c>
      <c r="AW36" s="7">
        <v>9</v>
      </c>
      <c r="AX36" s="7">
        <f>Table1[[#This Row],['#sections of lesion]]-Table1[[#This Row],[cortex]]</f>
        <v>1</v>
      </c>
      <c r="AY36" s="7">
        <v>12</v>
      </c>
    </row>
    <row r="37" spans="1:51" ht="15.75" customHeight="1" thickBot="1" x14ac:dyDescent="0.35">
      <c r="A37" s="217"/>
      <c r="B37" s="2" t="s">
        <v>99</v>
      </c>
      <c r="C37" s="15">
        <v>9.093</v>
      </c>
      <c r="D37" s="15">
        <v>10.624000000000001</v>
      </c>
      <c r="E37" s="15">
        <v>14.046000000000001</v>
      </c>
      <c r="F37" s="15">
        <v>18.513000000000002</v>
      </c>
      <c r="G37" s="15">
        <v>20.766999999999999</v>
      </c>
      <c r="H37" s="15">
        <v>22.706</v>
      </c>
      <c r="I37" s="15">
        <v>23.58</v>
      </c>
      <c r="J37" s="15">
        <v>27.54</v>
      </c>
      <c r="K37" s="15">
        <v>27.523</v>
      </c>
      <c r="L37" s="15">
        <v>27.859000000000002</v>
      </c>
      <c r="M37" s="15">
        <v>26.846</v>
      </c>
      <c r="N37" s="15">
        <v>24.896999999999998</v>
      </c>
      <c r="O37" s="15"/>
      <c r="P37" s="15" t="s">
        <v>106</v>
      </c>
      <c r="Q37" s="15">
        <f t="shared" ref="Q37" si="37">Q35-Q36</f>
        <v>0</v>
      </c>
      <c r="S37" s="217"/>
      <c r="T37" s="217"/>
      <c r="U37" s="8" t="s">
        <v>99</v>
      </c>
      <c r="V37" s="15">
        <f t="shared" ref="V37:AH37" si="38">C37*C42</f>
        <v>4.5465</v>
      </c>
      <c r="W37" s="15">
        <f t="shared" si="38"/>
        <v>5.3120000000000003</v>
      </c>
      <c r="X37" s="15">
        <f t="shared" si="38"/>
        <v>7.0230000000000006</v>
      </c>
      <c r="Y37" s="15">
        <f t="shared" si="38"/>
        <v>9.9970200000000009</v>
      </c>
      <c r="Z37" s="15">
        <f t="shared" si="38"/>
        <v>10.3835</v>
      </c>
      <c r="AA37" s="15">
        <f t="shared" si="38"/>
        <v>10.44476</v>
      </c>
      <c r="AB37" s="15">
        <f t="shared" si="38"/>
        <v>11.79</v>
      </c>
      <c r="AC37" s="15">
        <f t="shared" si="38"/>
        <v>13.77</v>
      </c>
      <c r="AD37" s="15">
        <f t="shared" si="38"/>
        <v>13.7615</v>
      </c>
      <c r="AE37" s="15">
        <f t="shared" si="38"/>
        <v>13.929500000000001</v>
      </c>
      <c r="AF37" s="15">
        <f t="shared" si="38"/>
        <v>13.423</v>
      </c>
      <c r="AG37" s="15">
        <f t="shared" si="38"/>
        <v>12.448499999999999</v>
      </c>
      <c r="AH37" s="15">
        <f t="shared" si="38"/>
        <v>0</v>
      </c>
      <c r="AI37" s="15">
        <f t="shared" ref="AI37" si="39">R37*R42</f>
        <v>0</v>
      </c>
      <c r="AJ37" s="23">
        <f>SUM(V37:AI37)</f>
        <v>126.82928</v>
      </c>
      <c r="AK37" s="2">
        <v>126.82928</v>
      </c>
      <c r="AM37" s="20" t="s">
        <v>69</v>
      </c>
      <c r="AN37" s="21">
        <v>10.27426</v>
      </c>
      <c r="AO37" s="15">
        <v>125.71422000000001</v>
      </c>
      <c r="AP37" s="15">
        <v>121.15052000000001</v>
      </c>
      <c r="AQ37" s="15">
        <v>110.87626</v>
      </c>
      <c r="AR37" s="15">
        <f>(Table1[[#This Row],[Ipsilateral Hemisphere]]-Table1[[#This Row],[Contralateral Hemisphere]])/Table1[[#This Row],[Contralateral Hemisphere]]*100</f>
        <v>-3.6302178067047599</v>
      </c>
      <c r="AS37" s="15">
        <f>(Table1[[#This Row],[Contralateral Hemisphere]]-Table1[[#This Row],[Ipsilateral Hemisphere]])/Table1[[#This Row],[Contralateral Hemisphere]]*100</f>
        <v>3.6302178067047599</v>
      </c>
      <c r="AT37" s="15" t="str">
        <f>IF(Table1[[#This Row],[Oedema if + contraction if -]]&gt;0,"Oedema","Contraction")</f>
        <v>Contraction</v>
      </c>
      <c r="AU37" s="15">
        <f>Table1[[#This Row],[Contralateral Hemisphere]]-Table1[[#This Row],[Ipsilateral Hemisphere]]</f>
        <v>4.5636999999999972</v>
      </c>
      <c r="AV37" s="7">
        <v>11</v>
      </c>
      <c r="AW37" s="7">
        <v>7</v>
      </c>
      <c r="AX37" s="7">
        <f>Table1[[#This Row],['#sections of lesion]]-Table1[[#This Row],[cortex]]</f>
        <v>4</v>
      </c>
      <c r="AY37" s="7">
        <v>11</v>
      </c>
    </row>
    <row r="38" spans="1:51" ht="15.75" customHeight="1" thickBot="1" x14ac:dyDescent="0.35">
      <c r="A38" s="217"/>
      <c r="B38" s="2" t="s">
        <v>100</v>
      </c>
      <c r="C38" s="15">
        <v>10.039</v>
      </c>
      <c r="D38" s="15">
        <v>12.609</v>
      </c>
      <c r="E38" s="15">
        <v>14.89</v>
      </c>
      <c r="F38" s="15">
        <v>17.748000000000001</v>
      </c>
      <c r="G38" s="15">
        <v>19.515999999999998</v>
      </c>
      <c r="H38" s="15">
        <v>21.335000000000001</v>
      </c>
      <c r="I38" s="15">
        <v>22.657</v>
      </c>
      <c r="J38" s="15">
        <v>27.454999999999998</v>
      </c>
      <c r="K38" s="15">
        <v>26.510999999999999</v>
      </c>
      <c r="L38" s="15">
        <v>27.001999999999999</v>
      </c>
      <c r="M38" s="15">
        <v>26.997</v>
      </c>
      <c r="N38" s="15">
        <v>25.22</v>
      </c>
      <c r="O38" s="15"/>
      <c r="P38" s="15" t="s">
        <v>113</v>
      </c>
      <c r="Q38" s="16">
        <f>COUNTIF(C35:O35, "&gt;=0" )</f>
        <v>12</v>
      </c>
      <c r="S38" s="217"/>
      <c r="T38" s="217"/>
      <c r="U38" s="8" t="s">
        <v>100</v>
      </c>
      <c r="V38" s="15">
        <f t="shared" ref="V38:AH38" si="40">C38*C42</f>
        <v>5.0194999999999999</v>
      </c>
      <c r="W38" s="15">
        <f t="shared" si="40"/>
        <v>6.3045</v>
      </c>
      <c r="X38" s="15">
        <f t="shared" si="40"/>
        <v>7.4450000000000003</v>
      </c>
      <c r="Y38" s="15">
        <f t="shared" si="40"/>
        <v>9.5839200000000009</v>
      </c>
      <c r="Z38" s="15">
        <f t="shared" si="40"/>
        <v>9.7579999999999991</v>
      </c>
      <c r="AA38" s="15">
        <f t="shared" si="40"/>
        <v>9.8141000000000016</v>
      </c>
      <c r="AB38" s="15">
        <f t="shared" si="40"/>
        <v>11.3285</v>
      </c>
      <c r="AC38" s="15">
        <f t="shared" si="40"/>
        <v>13.727499999999999</v>
      </c>
      <c r="AD38" s="15">
        <f t="shared" si="40"/>
        <v>13.2555</v>
      </c>
      <c r="AE38" s="15">
        <f t="shared" si="40"/>
        <v>13.500999999999999</v>
      </c>
      <c r="AF38" s="15">
        <f t="shared" si="40"/>
        <v>13.4985</v>
      </c>
      <c r="AG38" s="15">
        <f t="shared" si="40"/>
        <v>12.61</v>
      </c>
      <c r="AH38" s="15">
        <f t="shared" si="40"/>
        <v>0</v>
      </c>
      <c r="AI38" s="15">
        <f t="shared" ref="AI38" si="41">R38*R42</f>
        <v>0</v>
      </c>
      <c r="AJ38" s="23">
        <f>SUM(V38:AI38)</f>
        <v>125.84602</v>
      </c>
      <c r="AK38" s="2">
        <v>125.84602</v>
      </c>
      <c r="AM38" s="20" t="s">
        <v>70</v>
      </c>
      <c r="AN38" s="21">
        <v>3.2512000000000003</v>
      </c>
      <c r="AO38" s="15">
        <v>110.45332000000002</v>
      </c>
      <c r="AP38" s="15">
        <v>102.64048</v>
      </c>
      <c r="AQ38" s="15">
        <v>99.389279999999985</v>
      </c>
      <c r="AR38" s="15">
        <f>(Table1[[#This Row],[Ipsilateral Hemisphere]]-Table1[[#This Row],[Contralateral Hemisphere]])/Table1[[#This Row],[Contralateral Hemisphere]]*100</f>
        <v>-7.0734315636687253</v>
      </c>
      <c r="AS38" s="15">
        <f>(Table1[[#This Row],[Contralateral Hemisphere]]-Table1[[#This Row],[Ipsilateral Hemisphere]])/Table1[[#This Row],[Contralateral Hemisphere]]*100</f>
        <v>7.0734315636687253</v>
      </c>
      <c r="AT38" s="15" t="str">
        <f>IF(Table1[[#This Row],[Oedema if + contraction if -]]&gt;0,"Oedema","Contraction")</f>
        <v>Contraction</v>
      </c>
      <c r="AU38" s="15">
        <f>Table1[[#This Row],[Contralateral Hemisphere]]-Table1[[#This Row],[Ipsilateral Hemisphere]]</f>
        <v>7.8128400000000227</v>
      </c>
      <c r="AV38" s="7">
        <v>8</v>
      </c>
      <c r="AW38" s="7">
        <v>6</v>
      </c>
      <c r="AX38" s="7">
        <f>Table1[[#This Row],['#sections of lesion]]-Table1[[#This Row],[cortex]]</f>
        <v>2</v>
      </c>
      <c r="AY38" s="7">
        <v>11</v>
      </c>
    </row>
    <row r="39" spans="1:51" ht="16.2" thickBot="1" x14ac:dyDescent="0.35">
      <c r="A39" s="6"/>
      <c r="B39" s="2" t="s">
        <v>114</v>
      </c>
      <c r="C39" s="15">
        <v>10.039</v>
      </c>
      <c r="D39" s="15">
        <v>12.609</v>
      </c>
      <c r="E39" s="15">
        <v>14.89</v>
      </c>
      <c r="F39" s="15">
        <v>17.054000000000002</v>
      </c>
      <c r="G39" s="15">
        <v>16.683999999999997</v>
      </c>
      <c r="H39" s="15">
        <v>17.740000000000002</v>
      </c>
      <c r="I39" s="15">
        <v>18.911000000000001</v>
      </c>
      <c r="J39" s="15">
        <v>24.110999999999997</v>
      </c>
      <c r="K39" s="15">
        <v>23.527999999999999</v>
      </c>
      <c r="L39" s="15">
        <v>24.157</v>
      </c>
      <c r="M39" s="15">
        <v>25.198999999999998</v>
      </c>
      <c r="N39" s="15">
        <v>24.814999999999998</v>
      </c>
      <c r="O39" s="15"/>
      <c r="P39" s="15"/>
      <c r="Q39" s="15"/>
      <c r="S39" s="6"/>
      <c r="T39" s="6"/>
      <c r="U39" s="8" t="s">
        <v>101</v>
      </c>
      <c r="V39" s="15">
        <f t="shared" ref="V39:AH39" si="42">C39*C42</f>
        <v>5.0194999999999999</v>
      </c>
      <c r="W39" s="15">
        <f t="shared" si="42"/>
        <v>6.3045</v>
      </c>
      <c r="X39" s="15">
        <f t="shared" si="42"/>
        <v>7.4450000000000003</v>
      </c>
      <c r="Y39" s="15">
        <f t="shared" si="42"/>
        <v>9.2091600000000025</v>
      </c>
      <c r="Z39" s="15">
        <f t="shared" si="42"/>
        <v>8.3419999999999987</v>
      </c>
      <c r="AA39" s="15">
        <f t="shared" si="42"/>
        <v>8.160400000000001</v>
      </c>
      <c r="AB39" s="15">
        <f t="shared" si="42"/>
        <v>9.4555000000000007</v>
      </c>
      <c r="AC39" s="15">
        <f t="shared" si="42"/>
        <v>12.055499999999999</v>
      </c>
      <c r="AD39" s="15">
        <f t="shared" si="42"/>
        <v>11.763999999999999</v>
      </c>
      <c r="AE39" s="15">
        <f t="shared" si="42"/>
        <v>12.0785</v>
      </c>
      <c r="AF39" s="15">
        <f t="shared" si="42"/>
        <v>12.599499999999999</v>
      </c>
      <c r="AG39" s="15">
        <f t="shared" si="42"/>
        <v>12.407499999999999</v>
      </c>
      <c r="AH39" s="15">
        <f t="shared" si="42"/>
        <v>0</v>
      </c>
      <c r="AI39" s="15">
        <f t="shared" ref="AI39" si="43">R39*R42</f>
        <v>0</v>
      </c>
      <c r="AJ39" s="23">
        <f>SUM(V39:AI39)</f>
        <v>114.84106</v>
      </c>
      <c r="AK39" s="2">
        <v>114.84106</v>
      </c>
      <c r="AM39" s="20" t="s">
        <v>73</v>
      </c>
      <c r="AN39" s="21">
        <v>14.572980000000001</v>
      </c>
      <c r="AO39" s="15">
        <v>120.46149999999999</v>
      </c>
      <c r="AP39" s="15">
        <v>118.92609999999999</v>
      </c>
      <c r="AQ39" s="15">
        <v>104.35311999999999</v>
      </c>
      <c r="AR39" s="15">
        <f>(Table1[[#This Row],[Ipsilateral Hemisphere]]-Table1[[#This Row],[Contralateral Hemisphere]])/Table1[[#This Row],[Contralateral Hemisphere]]*100</f>
        <v>-1.2745981081092266</v>
      </c>
      <c r="AS39" s="15">
        <f>(Table1[[#This Row],[Contralateral Hemisphere]]-Table1[[#This Row],[Ipsilateral Hemisphere]])/Table1[[#This Row],[Contralateral Hemisphere]]*100</f>
        <v>1.2745981081092266</v>
      </c>
      <c r="AT39" s="15" t="str">
        <f>IF(Table1[[#This Row],[Oedema if + contraction if -]]&gt;0,"Oedema","Contraction")</f>
        <v>Contraction</v>
      </c>
      <c r="AU39" s="15">
        <f>Table1[[#This Row],[Contralateral Hemisphere]]-Table1[[#This Row],[Ipsilateral Hemisphere]]</f>
        <v>1.5353999999999957</v>
      </c>
      <c r="AV39" s="7">
        <v>10</v>
      </c>
      <c r="AW39" s="7">
        <v>4</v>
      </c>
      <c r="AX39" s="7">
        <f>Table1[[#This Row],['#sections of lesion]]-Table1[[#This Row],[cortex]]</f>
        <v>6</v>
      </c>
      <c r="AY39" s="7">
        <v>11</v>
      </c>
    </row>
    <row r="40" spans="1:51" ht="16.2" thickBot="1" x14ac:dyDescent="0.35">
      <c r="A40" s="6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S40" s="6"/>
      <c r="T40" s="6"/>
      <c r="U40" s="24" t="s">
        <v>115</v>
      </c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19">
        <f>(AJ37-AJ38)/AJ37*100</f>
        <v>0.77526262074498997</v>
      </c>
      <c r="AK40" s="2">
        <v>0.77526262074498997</v>
      </c>
      <c r="AM40" s="20" t="s">
        <v>74</v>
      </c>
      <c r="AN40" s="21">
        <v>11.92418</v>
      </c>
      <c r="AO40" s="15">
        <v>126.15550000000002</v>
      </c>
      <c r="AP40" s="15">
        <v>122.7482</v>
      </c>
      <c r="AQ40" s="15">
        <v>110.82402</v>
      </c>
      <c r="AR40" s="15">
        <f>(Table1[[#This Row],[Ipsilateral Hemisphere]]-Table1[[#This Row],[Contralateral Hemisphere]])/Table1[[#This Row],[Contralateral Hemisphere]]*100</f>
        <v>-2.7008731287974128</v>
      </c>
      <c r="AS40" s="15">
        <f>(Table1[[#This Row],[Contralateral Hemisphere]]-Table1[[#This Row],[Ipsilateral Hemisphere]])/Table1[[#This Row],[Contralateral Hemisphere]]*100</f>
        <v>2.7008731287974128</v>
      </c>
      <c r="AT40" s="15" t="str">
        <f>IF(Table1[[#This Row],[Oedema if + contraction if -]]&gt;0,"Oedema","Contraction")</f>
        <v>Contraction</v>
      </c>
      <c r="AU40" s="15">
        <f>Table1[[#This Row],[Contralateral Hemisphere]]-Table1[[#This Row],[Ipsilateral Hemisphere]]</f>
        <v>3.4073000000000206</v>
      </c>
      <c r="AV40" s="7">
        <v>10</v>
      </c>
      <c r="AW40" s="7">
        <v>5</v>
      </c>
      <c r="AX40" s="7">
        <f>Table1[[#This Row],['#sections of lesion]]-Table1[[#This Row],[cortex]]</f>
        <v>5</v>
      </c>
      <c r="AY40" s="7">
        <v>12</v>
      </c>
    </row>
    <row r="41" spans="1:51" ht="16.2" thickBot="1" x14ac:dyDescent="0.35">
      <c r="A41" s="6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S41" s="6"/>
      <c r="T41" s="6"/>
      <c r="U41" s="24" t="s">
        <v>103</v>
      </c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19">
        <f>AJ37-AJ39</f>
        <v>11.988219999999998</v>
      </c>
      <c r="AK41" s="2">
        <v>11.988219999999998</v>
      </c>
      <c r="AM41" s="20" t="s">
        <v>75</v>
      </c>
      <c r="AN41" s="21">
        <v>10.517659999999999</v>
      </c>
      <c r="AO41" s="15">
        <v>106.88780000000001</v>
      </c>
      <c r="AP41" s="15">
        <v>106.1481</v>
      </c>
      <c r="AQ41" s="15">
        <v>95.630440000000007</v>
      </c>
      <c r="AR41" s="15">
        <f>(Table1[[#This Row],[Ipsilateral Hemisphere]]-Table1[[#This Row],[Contralateral Hemisphere]])/Table1[[#This Row],[Contralateral Hemisphere]]*100</f>
        <v>-0.69203407685443352</v>
      </c>
      <c r="AS41" s="15">
        <f>(Table1[[#This Row],[Contralateral Hemisphere]]-Table1[[#This Row],[Ipsilateral Hemisphere]])/Table1[[#This Row],[Contralateral Hemisphere]]*100</f>
        <v>0.69203407685443352</v>
      </c>
      <c r="AT41" s="15" t="str">
        <f>IF(Table1[[#This Row],[Oedema if + contraction if -]]&gt;0,"Oedema","Contraction")</f>
        <v>Contraction</v>
      </c>
      <c r="AU41" s="15">
        <f>Table1[[#This Row],[Contralateral Hemisphere]]-Table1[[#This Row],[Ipsilateral Hemisphere]]</f>
        <v>0.73970000000001335</v>
      </c>
      <c r="AV41" s="7">
        <v>8</v>
      </c>
      <c r="AW41" s="7">
        <v>7</v>
      </c>
      <c r="AX41" s="7">
        <f>Table1[[#This Row],['#sections of lesion]]-Table1[[#This Row],[cortex]]</f>
        <v>1</v>
      </c>
      <c r="AY41" s="7">
        <v>10</v>
      </c>
    </row>
    <row r="42" spans="1:51" ht="16.2" thickBot="1" x14ac:dyDescent="0.35">
      <c r="A42" s="6"/>
      <c r="B42" s="2" t="s">
        <v>32</v>
      </c>
      <c r="C42" s="15">
        <v>0.5</v>
      </c>
      <c r="D42" s="15">
        <v>0.5</v>
      </c>
      <c r="E42" s="15">
        <v>0.5</v>
      </c>
      <c r="F42" s="15">
        <v>0.54</v>
      </c>
      <c r="G42" s="15">
        <v>0.5</v>
      </c>
      <c r="H42" s="15">
        <v>0.46</v>
      </c>
      <c r="I42" s="15">
        <v>0.5</v>
      </c>
      <c r="J42" s="15">
        <v>0.5</v>
      </c>
      <c r="K42" s="15">
        <v>0.5</v>
      </c>
      <c r="L42" s="15">
        <v>0.5</v>
      </c>
      <c r="M42" s="15">
        <v>0.5</v>
      </c>
      <c r="N42" s="15">
        <v>0.5</v>
      </c>
      <c r="O42" s="15"/>
      <c r="P42" s="15"/>
      <c r="Q42" s="15"/>
      <c r="R42" s="16"/>
      <c r="S42" s="6"/>
      <c r="T42" s="6"/>
      <c r="U42" s="8" t="s">
        <v>97</v>
      </c>
      <c r="V42" s="221" t="s">
        <v>123</v>
      </c>
      <c r="W42" s="221"/>
      <c r="X42" s="221"/>
      <c r="Y42" s="221"/>
      <c r="Z42" s="221"/>
      <c r="AA42" s="221"/>
      <c r="AB42" s="221"/>
      <c r="AC42" s="221"/>
      <c r="AD42" s="221"/>
      <c r="AE42" s="221"/>
      <c r="AF42" s="221"/>
      <c r="AG42" s="221"/>
      <c r="AH42" s="221"/>
      <c r="AI42" s="222"/>
      <c r="AJ42" s="26"/>
      <c r="AM42" s="20" t="s">
        <v>76</v>
      </c>
      <c r="AN42" s="21">
        <v>10.26342</v>
      </c>
      <c r="AO42" s="15">
        <v>129.89267999999998</v>
      </c>
      <c r="AP42" s="15">
        <v>126.57236</v>
      </c>
      <c r="AQ42" s="15">
        <v>116.30894000000001</v>
      </c>
      <c r="AR42" s="15">
        <f>(Table1[[#This Row],[Ipsilateral Hemisphere]]-Table1[[#This Row],[Contralateral Hemisphere]])/Table1[[#This Row],[Contralateral Hemisphere]]*100</f>
        <v>-2.5562025512138034</v>
      </c>
      <c r="AS42" s="15">
        <f>(Table1[[#This Row],[Contralateral Hemisphere]]-Table1[[#This Row],[Ipsilateral Hemisphere]])/Table1[[#This Row],[Contralateral Hemisphere]]*100</f>
        <v>2.5562025512138034</v>
      </c>
      <c r="AT42" s="15" t="str">
        <f>IF(Table1[[#This Row],[Oedema if + contraction if -]]&gt;0,"Oedema","Contraction")</f>
        <v>Contraction</v>
      </c>
      <c r="AU42" s="15">
        <f>Table1[[#This Row],[Contralateral Hemisphere]]-Table1[[#This Row],[Ipsilateral Hemisphere]]</f>
        <v>3.3203199999999811</v>
      </c>
      <c r="AV42" s="7">
        <v>12</v>
      </c>
      <c r="AW42" s="7">
        <v>6</v>
      </c>
      <c r="AX42" s="7">
        <f>Table1[[#This Row],['#sections of lesion]]-Table1[[#This Row],[cortex]]</f>
        <v>6</v>
      </c>
      <c r="AY42" s="7">
        <v>12</v>
      </c>
    </row>
    <row r="43" spans="1:51" ht="15.75" customHeight="1" thickBot="1" x14ac:dyDescent="0.35">
      <c r="A43" s="216" t="s">
        <v>124</v>
      </c>
      <c r="B43" s="13" t="s">
        <v>98</v>
      </c>
      <c r="C43" s="14">
        <v>0.42599999999999999</v>
      </c>
      <c r="D43" s="14">
        <v>2.7730000000000001</v>
      </c>
      <c r="E43" s="14">
        <v>2.6419999999999999</v>
      </c>
      <c r="F43" s="14">
        <v>2.9980000000000002</v>
      </c>
      <c r="G43" s="14">
        <v>3.7280000000000002</v>
      </c>
      <c r="H43" s="14">
        <v>4.141</v>
      </c>
      <c r="I43" s="14">
        <v>3.5459999999999998</v>
      </c>
      <c r="J43" s="14">
        <v>3.496</v>
      </c>
      <c r="K43" s="14">
        <v>1.006</v>
      </c>
      <c r="L43" s="14">
        <v>0.13800000000000001</v>
      </c>
      <c r="M43" s="14"/>
      <c r="N43" s="14"/>
      <c r="O43" s="14"/>
      <c r="P43" s="15" t="s">
        <v>109</v>
      </c>
      <c r="Q43" s="16">
        <f>COUNTIF(C43:N43, "&gt;0" )</f>
        <v>10</v>
      </c>
      <c r="S43" s="216" t="s">
        <v>124</v>
      </c>
      <c r="T43" s="216" t="s">
        <v>2</v>
      </c>
      <c r="U43" s="17" t="s">
        <v>98</v>
      </c>
      <c r="V43" s="18">
        <f t="shared" ref="V43:AH43" si="44">C43*C50</f>
        <v>0.21299999999999999</v>
      </c>
      <c r="W43" s="18">
        <f t="shared" si="44"/>
        <v>1.6083399999999999</v>
      </c>
      <c r="X43" s="18">
        <f t="shared" si="44"/>
        <v>1.00396</v>
      </c>
      <c r="Y43" s="18">
        <f t="shared" si="44"/>
        <v>1.6189200000000001</v>
      </c>
      <c r="Z43" s="18">
        <f t="shared" si="44"/>
        <v>1.7148800000000002</v>
      </c>
      <c r="AA43" s="18">
        <f t="shared" si="44"/>
        <v>2.2361400000000002</v>
      </c>
      <c r="AB43" s="18">
        <f t="shared" si="44"/>
        <v>1.6311599999999999</v>
      </c>
      <c r="AC43" s="18">
        <f t="shared" si="44"/>
        <v>1.81792</v>
      </c>
      <c r="AD43" s="18">
        <f t="shared" si="44"/>
        <v>0.503</v>
      </c>
      <c r="AE43" s="18">
        <f t="shared" si="44"/>
        <v>6.6240000000000007E-2</v>
      </c>
      <c r="AF43" s="18">
        <f t="shared" si="44"/>
        <v>0</v>
      </c>
      <c r="AG43" s="18">
        <f t="shared" si="44"/>
        <v>0</v>
      </c>
      <c r="AH43" s="18">
        <f t="shared" si="44"/>
        <v>0</v>
      </c>
      <c r="AI43" s="18">
        <f t="shared" ref="AI43" si="45">R43*R50</f>
        <v>0</v>
      </c>
      <c r="AJ43" s="19">
        <f>SUM(V43:AI43)</f>
        <v>12.41356</v>
      </c>
      <c r="AK43" s="2">
        <v>12.41356</v>
      </c>
      <c r="AM43" s="20" t="s">
        <v>77</v>
      </c>
      <c r="AN43" s="21">
        <v>7.8092000000000006</v>
      </c>
      <c r="AO43" s="15">
        <v>119.52515999999999</v>
      </c>
      <c r="AP43" s="15">
        <v>114.61841999999999</v>
      </c>
      <c r="AQ43" s="15">
        <v>106.80922</v>
      </c>
      <c r="AR43" s="15">
        <f>(Table1[[#This Row],[Ipsilateral Hemisphere]]-Table1[[#This Row],[Contralateral Hemisphere]])/Table1[[#This Row],[Contralateral Hemisphere]]*100</f>
        <v>-4.1051942536617387</v>
      </c>
      <c r="AS43" s="15">
        <f>(Table1[[#This Row],[Contralateral Hemisphere]]-Table1[[#This Row],[Ipsilateral Hemisphere]])/Table1[[#This Row],[Contralateral Hemisphere]]*100</f>
        <v>4.1051942536617387</v>
      </c>
      <c r="AT43" s="15" t="str">
        <f>IF(Table1[[#This Row],[Oedema if + contraction if -]]&gt;0,"Oedema","Contraction")</f>
        <v>Contraction</v>
      </c>
      <c r="AU43" s="15">
        <f>Table1[[#This Row],[Contralateral Hemisphere]]-Table1[[#This Row],[Ipsilateral Hemisphere]]</f>
        <v>4.9067399999999992</v>
      </c>
      <c r="AV43" s="7">
        <v>10</v>
      </c>
      <c r="AW43" s="7">
        <v>10</v>
      </c>
      <c r="AX43" s="7">
        <f>Table1[[#This Row],['#sections of lesion]]-Table1[[#This Row],[cortex]]</f>
        <v>0</v>
      </c>
      <c r="AY43" s="7">
        <v>11</v>
      </c>
    </row>
    <row r="44" spans="1:51" ht="15.75" customHeight="1" thickBot="1" x14ac:dyDescent="0.35">
      <c r="A44" s="217"/>
      <c r="B44" s="2" t="s">
        <v>110</v>
      </c>
      <c r="C44" s="15" t="s">
        <v>111</v>
      </c>
      <c r="D44" s="15" t="s">
        <v>111</v>
      </c>
      <c r="E44" s="15" t="s">
        <v>111</v>
      </c>
      <c r="F44" s="15" t="s">
        <v>125</v>
      </c>
      <c r="G44" s="15" t="s">
        <v>125</v>
      </c>
      <c r="H44" s="15" t="s">
        <v>125</v>
      </c>
      <c r="I44" s="15" t="s">
        <v>111</v>
      </c>
      <c r="J44" s="15" t="s">
        <v>126</v>
      </c>
      <c r="K44" s="15" t="s">
        <v>111</v>
      </c>
      <c r="L44" s="15" t="s">
        <v>111</v>
      </c>
      <c r="M44" s="15"/>
      <c r="N44" s="15"/>
      <c r="O44" s="15"/>
      <c r="P44" s="15" t="s">
        <v>105</v>
      </c>
      <c r="Q44" s="15">
        <f>COUNTIF(C44:N44,"Cortex")</f>
        <v>6</v>
      </c>
      <c r="S44" s="217"/>
      <c r="T44" s="217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23"/>
      <c r="AM44" s="20" t="s">
        <v>71</v>
      </c>
      <c r="AN44" s="21">
        <v>13.772300000000001</v>
      </c>
      <c r="AO44" s="15">
        <v>114.99096</v>
      </c>
      <c r="AP44" s="15">
        <v>127.52724000000001</v>
      </c>
      <c r="AQ44" s="15">
        <v>113.75494</v>
      </c>
      <c r="AR44" s="15">
        <f>(Table1[[#This Row],[Ipsilateral Hemisphere]]-Table1[[#This Row],[Contralateral Hemisphere]])/Table1[[#This Row],[Contralateral Hemisphere]]*100</f>
        <v>10.901970033122609</v>
      </c>
      <c r="AS44" s="15">
        <f>(Table1[[#This Row],[Contralateral Hemisphere]]-Table1[[#This Row],[Ipsilateral Hemisphere]])/Table1[[#This Row],[Contralateral Hemisphere]]*100</f>
        <v>-10.901970033122609</v>
      </c>
      <c r="AT44" s="15" t="str">
        <f>IF(Table1[[#This Row],[Oedema if + contraction if -]]&gt;0,"Oedema","Contraction")</f>
        <v>Oedema</v>
      </c>
      <c r="AU44" s="15">
        <f>Table1[[#This Row],[Contralateral Hemisphere]]-Table1[[#This Row],[Ipsilateral Hemisphere]]</f>
        <v>-12.536280000000005</v>
      </c>
      <c r="AV44" s="7">
        <v>10</v>
      </c>
      <c r="AW44" s="7">
        <v>5</v>
      </c>
      <c r="AX44" s="7">
        <f>Table1[[#This Row],['#sections of lesion]]-Table1[[#This Row],[cortex]]</f>
        <v>5</v>
      </c>
      <c r="AY44" s="7">
        <v>11</v>
      </c>
    </row>
    <row r="45" spans="1:51" ht="15.75" customHeight="1" thickBot="1" x14ac:dyDescent="0.35">
      <c r="A45" s="217"/>
      <c r="B45" s="2" t="s">
        <v>99</v>
      </c>
      <c r="C45" s="15">
        <v>11.741</v>
      </c>
      <c r="D45" s="15">
        <v>18.081999999999997</v>
      </c>
      <c r="E45" s="15">
        <v>21.038</v>
      </c>
      <c r="F45" s="15">
        <v>22.803000000000001</v>
      </c>
      <c r="G45" s="15">
        <v>23.205000000000002</v>
      </c>
      <c r="H45" s="15">
        <v>24.324000000000002</v>
      </c>
      <c r="I45" s="15">
        <v>26.791</v>
      </c>
      <c r="J45" s="15">
        <v>25.864000000000001</v>
      </c>
      <c r="K45" s="15">
        <v>24.925999999999998</v>
      </c>
      <c r="L45" s="15">
        <v>26.137</v>
      </c>
      <c r="M45" s="15"/>
      <c r="N45" s="15"/>
      <c r="O45" s="15"/>
      <c r="P45" s="15" t="s">
        <v>106</v>
      </c>
      <c r="Q45" s="15">
        <f t="shared" ref="Q45" si="46">Q43-Q44</f>
        <v>4</v>
      </c>
      <c r="S45" s="217"/>
      <c r="T45" s="217"/>
      <c r="U45" s="8" t="s">
        <v>99</v>
      </c>
      <c r="V45" s="15">
        <f t="shared" ref="V45:AH45" si="47">C45*C50</f>
        <v>5.8704999999999998</v>
      </c>
      <c r="W45" s="15">
        <f t="shared" si="47"/>
        <v>10.487559999999998</v>
      </c>
      <c r="X45" s="15">
        <f t="shared" si="47"/>
        <v>7.99444</v>
      </c>
      <c r="Y45" s="15">
        <f t="shared" si="47"/>
        <v>12.313620000000002</v>
      </c>
      <c r="Z45" s="15">
        <f t="shared" si="47"/>
        <v>10.674300000000001</v>
      </c>
      <c r="AA45" s="15">
        <f t="shared" si="47"/>
        <v>13.134960000000001</v>
      </c>
      <c r="AB45" s="15">
        <f t="shared" si="47"/>
        <v>12.323860000000002</v>
      </c>
      <c r="AC45" s="15">
        <f t="shared" si="47"/>
        <v>13.449280000000002</v>
      </c>
      <c r="AD45" s="15">
        <f t="shared" si="47"/>
        <v>12.462999999999999</v>
      </c>
      <c r="AE45" s="15">
        <f t="shared" si="47"/>
        <v>12.54576</v>
      </c>
      <c r="AF45" s="15">
        <f t="shared" si="47"/>
        <v>0</v>
      </c>
      <c r="AG45" s="15">
        <f t="shared" si="47"/>
        <v>0</v>
      </c>
      <c r="AH45" s="15">
        <f t="shared" si="47"/>
        <v>0</v>
      </c>
      <c r="AI45" s="15">
        <f t="shared" ref="AI45" si="48">R45*R50</f>
        <v>0</v>
      </c>
      <c r="AJ45" s="23">
        <f>SUM(V45:AI45)</f>
        <v>111.25727999999999</v>
      </c>
      <c r="AK45" s="2">
        <v>111.25727999999999</v>
      </c>
      <c r="AM45" s="20" t="s">
        <v>72</v>
      </c>
      <c r="AN45" s="21">
        <v>9.345839999999999</v>
      </c>
      <c r="AO45" s="15">
        <v>119.49504</v>
      </c>
      <c r="AP45" s="15">
        <v>118.99838</v>
      </c>
      <c r="AQ45" s="15">
        <v>109.65253999999999</v>
      </c>
      <c r="AR45" s="15">
        <f>(Table1[[#This Row],[Ipsilateral Hemisphere]]-Table1[[#This Row],[Contralateral Hemisphere]])/Table1[[#This Row],[Contralateral Hemisphere]]*100</f>
        <v>-0.41563231411111767</v>
      </c>
      <c r="AS45" s="15">
        <f>(Table1[[#This Row],[Contralateral Hemisphere]]-Table1[[#This Row],[Ipsilateral Hemisphere]])/Table1[[#This Row],[Contralateral Hemisphere]]*100</f>
        <v>0.41563231411111767</v>
      </c>
      <c r="AT45" s="15" t="str">
        <f>IF(Table1[[#This Row],[Oedema if + contraction if -]]&gt;0,"Oedema","Contraction")</f>
        <v>Contraction</v>
      </c>
      <c r="AU45" s="15">
        <f>Table1[[#This Row],[Contralateral Hemisphere]]-Table1[[#This Row],[Ipsilateral Hemisphere]]</f>
        <v>0.49666000000000565</v>
      </c>
      <c r="AV45" s="7">
        <v>10</v>
      </c>
      <c r="AW45" s="7">
        <v>6</v>
      </c>
      <c r="AX45" s="7">
        <f>Table1[[#This Row],['#sections of lesion]]-Table1[[#This Row],[cortex]]</f>
        <v>4</v>
      </c>
      <c r="AY45" s="7">
        <v>10</v>
      </c>
    </row>
    <row r="46" spans="1:51" ht="15.75" customHeight="1" thickBot="1" x14ac:dyDescent="0.35">
      <c r="A46" s="217"/>
      <c r="B46" s="2" t="s">
        <v>100</v>
      </c>
      <c r="C46" s="15">
        <v>12.58</v>
      </c>
      <c r="D46" s="15">
        <v>15.923999999999999</v>
      </c>
      <c r="E46" s="15">
        <v>18.094999999999999</v>
      </c>
      <c r="F46" s="15">
        <v>20.053999999999998</v>
      </c>
      <c r="G46" s="15">
        <v>21.960999999999999</v>
      </c>
      <c r="H46" s="15">
        <v>22.783000000000001</v>
      </c>
      <c r="I46" s="15">
        <v>26.532</v>
      </c>
      <c r="J46" s="15">
        <v>27.056999999999999</v>
      </c>
      <c r="K46" s="15">
        <v>25.785</v>
      </c>
      <c r="L46" s="15">
        <v>26.216999999999999</v>
      </c>
      <c r="M46" s="15"/>
      <c r="N46" s="15"/>
      <c r="O46" s="15"/>
      <c r="P46" s="15" t="s">
        <v>113</v>
      </c>
      <c r="Q46" s="16">
        <f>COUNTIF(C43:O43, "&gt;=0" )</f>
        <v>10</v>
      </c>
      <c r="S46" s="217"/>
      <c r="T46" s="217"/>
      <c r="U46" s="8" t="s">
        <v>100</v>
      </c>
      <c r="V46" s="15">
        <f t="shared" ref="V46:AH46" si="49">C46*C50</f>
        <v>6.29</v>
      </c>
      <c r="W46" s="15">
        <f t="shared" si="49"/>
        <v>9.2359199999999984</v>
      </c>
      <c r="X46" s="15">
        <f t="shared" si="49"/>
        <v>6.8760999999999992</v>
      </c>
      <c r="Y46" s="15">
        <f t="shared" si="49"/>
        <v>10.82916</v>
      </c>
      <c r="Z46" s="15">
        <f t="shared" si="49"/>
        <v>10.10206</v>
      </c>
      <c r="AA46" s="15">
        <f t="shared" si="49"/>
        <v>12.302820000000002</v>
      </c>
      <c r="AB46" s="15">
        <f t="shared" si="49"/>
        <v>12.20472</v>
      </c>
      <c r="AC46" s="15">
        <f t="shared" si="49"/>
        <v>14.06964</v>
      </c>
      <c r="AD46" s="15">
        <f t="shared" si="49"/>
        <v>12.8925</v>
      </c>
      <c r="AE46" s="15">
        <f t="shared" si="49"/>
        <v>12.584159999999999</v>
      </c>
      <c r="AF46" s="15">
        <f t="shared" si="49"/>
        <v>0</v>
      </c>
      <c r="AG46" s="15">
        <f t="shared" si="49"/>
        <v>0</v>
      </c>
      <c r="AH46" s="15">
        <f t="shared" si="49"/>
        <v>0</v>
      </c>
      <c r="AI46" s="15">
        <f t="shared" ref="AI46" si="50">R46*R50</f>
        <v>0</v>
      </c>
      <c r="AJ46" s="23">
        <f>SUM(V46:AI46)</f>
        <v>107.38708000000001</v>
      </c>
      <c r="AK46" s="2">
        <v>107.38708000000001</v>
      </c>
      <c r="AM46" s="20" t="s">
        <v>78</v>
      </c>
      <c r="AN46" s="21">
        <v>10.698840000000001</v>
      </c>
      <c r="AO46" s="15">
        <v>122.80800000000001</v>
      </c>
      <c r="AP46" s="15">
        <v>120.26730000000001</v>
      </c>
      <c r="AQ46" s="15">
        <v>109.56846</v>
      </c>
      <c r="AR46" s="15">
        <f>(Table1[[#This Row],[Ipsilateral Hemisphere]]-Table1[[#This Row],[Contralateral Hemisphere]])/Table1[[#This Row],[Contralateral Hemisphere]]*100</f>
        <v>-2.0688391635724064</v>
      </c>
      <c r="AS46" s="15">
        <f>(Table1[[#This Row],[Contralateral Hemisphere]]-Table1[[#This Row],[Ipsilateral Hemisphere]])/Table1[[#This Row],[Contralateral Hemisphere]]*100</f>
        <v>2.0688391635724064</v>
      </c>
      <c r="AT46" s="15" t="str">
        <f>IF(Table1[[#This Row],[Oedema if + contraction if -]]&gt;0,"Oedema","Contraction")</f>
        <v>Contraction</v>
      </c>
      <c r="AU46" s="15">
        <f>Table1[[#This Row],[Contralateral Hemisphere]]-Table1[[#This Row],[Ipsilateral Hemisphere]]</f>
        <v>2.5407000000000011</v>
      </c>
      <c r="AV46" s="7">
        <v>10</v>
      </c>
      <c r="AW46" s="7">
        <v>5</v>
      </c>
      <c r="AX46" s="7">
        <f>Table1[[#This Row],['#sections of lesion]]-Table1[[#This Row],[cortex]]</f>
        <v>5</v>
      </c>
      <c r="AY46" s="7">
        <v>11</v>
      </c>
    </row>
    <row r="47" spans="1:51" ht="16.2" thickBot="1" x14ac:dyDescent="0.35">
      <c r="A47" s="6"/>
      <c r="B47" s="2" t="s">
        <v>114</v>
      </c>
      <c r="C47" s="15">
        <v>12.154</v>
      </c>
      <c r="D47" s="15">
        <v>13.151</v>
      </c>
      <c r="E47" s="15">
        <v>15.452999999999999</v>
      </c>
      <c r="F47" s="15">
        <v>17.055999999999997</v>
      </c>
      <c r="G47" s="15">
        <v>18.232999999999997</v>
      </c>
      <c r="H47" s="15">
        <v>18.642000000000003</v>
      </c>
      <c r="I47" s="15">
        <v>22.986000000000001</v>
      </c>
      <c r="J47" s="15">
        <v>23.561</v>
      </c>
      <c r="K47" s="15">
        <v>24.779</v>
      </c>
      <c r="L47" s="15">
        <v>26.078999999999997</v>
      </c>
      <c r="M47" s="15"/>
      <c r="N47" s="15"/>
      <c r="O47" s="15"/>
      <c r="P47" s="15"/>
      <c r="Q47" s="15"/>
      <c r="S47" s="6"/>
      <c r="T47" s="6"/>
      <c r="U47" s="8" t="s">
        <v>101</v>
      </c>
      <c r="V47" s="15">
        <f t="shared" ref="V47:AH47" si="51">C47*C50</f>
        <v>6.077</v>
      </c>
      <c r="W47" s="15">
        <f t="shared" si="51"/>
        <v>7.6275799999999991</v>
      </c>
      <c r="X47" s="15">
        <f t="shared" si="51"/>
        <v>5.8721399999999999</v>
      </c>
      <c r="Y47" s="15">
        <f t="shared" si="51"/>
        <v>9.2102399999999989</v>
      </c>
      <c r="Z47" s="15">
        <f t="shared" si="51"/>
        <v>8.387179999999999</v>
      </c>
      <c r="AA47" s="15">
        <f t="shared" si="51"/>
        <v>10.066680000000002</v>
      </c>
      <c r="AB47" s="15">
        <f t="shared" si="51"/>
        <v>10.573560000000001</v>
      </c>
      <c r="AC47" s="15">
        <f t="shared" si="51"/>
        <v>12.251720000000001</v>
      </c>
      <c r="AD47" s="15">
        <f t="shared" si="51"/>
        <v>12.3895</v>
      </c>
      <c r="AE47" s="15">
        <f t="shared" si="51"/>
        <v>12.517919999999998</v>
      </c>
      <c r="AF47" s="15">
        <f t="shared" si="51"/>
        <v>0</v>
      </c>
      <c r="AG47" s="15">
        <f t="shared" si="51"/>
        <v>0</v>
      </c>
      <c r="AH47" s="15">
        <f t="shared" si="51"/>
        <v>0</v>
      </c>
      <c r="AI47" s="15">
        <f t="shared" ref="AI47" si="52">R47*R50</f>
        <v>0</v>
      </c>
      <c r="AJ47" s="23">
        <f>SUM(V47:AI47)</f>
        <v>94.973520000000008</v>
      </c>
      <c r="AK47" s="2">
        <v>94.973520000000008</v>
      </c>
      <c r="AM47" s="20" t="s">
        <v>79</v>
      </c>
      <c r="AN47" s="21">
        <v>16.4924</v>
      </c>
      <c r="AO47" s="15">
        <v>129.94736</v>
      </c>
      <c r="AP47" s="15">
        <v>124.96136</v>
      </c>
      <c r="AQ47" s="15">
        <v>108.46896000000001</v>
      </c>
      <c r="AR47" s="15">
        <f>(Table1[[#This Row],[Ipsilateral Hemisphere]]-Table1[[#This Row],[Contralateral Hemisphere]])/Table1[[#This Row],[Contralateral Hemisphere]]*100</f>
        <v>-3.8369382802390168</v>
      </c>
      <c r="AS47" s="15">
        <f>(Table1[[#This Row],[Contralateral Hemisphere]]-Table1[[#This Row],[Ipsilateral Hemisphere]])/Table1[[#This Row],[Contralateral Hemisphere]]*100</f>
        <v>3.8369382802390168</v>
      </c>
      <c r="AT47" s="15" t="str">
        <f>IF(Table1[[#This Row],[Oedema if + contraction if -]]&gt;0,"Oedema","Contraction")</f>
        <v>Contraction</v>
      </c>
      <c r="AU47" s="15">
        <f>Table1[[#This Row],[Contralateral Hemisphere]]-Table1[[#This Row],[Ipsilateral Hemisphere]]</f>
        <v>4.9860000000000042</v>
      </c>
      <c r="AV47" s="7">
        <v>12</v>
      </c>
      <c r="AW47" s="7">
        <v>7</v>
      </c>
      <c r="AX47" s="7">
        <f>Table1[[#This Row],['#sections of lesion]]-Table1[[#This Row],[cortex]]</f>
        <v>5</v>
      </c>
      <c r="AY47" s="7">
        <v>12</v>
      </c>
    </row>
    <row r="48" spans="1:51" x14ac:dyDescent="0.3">
      <c r="A48" s="6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S48" s="6"/>
      <c r="T48" s="6"/>
      <c r="U48" s="24" t="s">
        <v>115</v>
      </c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19">
        <f>(AJ45-AJ46)/AJ45*100</f>
        <v>3.4786038270933668</v>
      </c>
      <c r="AK48" s="2">
        <v>3.4786038270933668</v>
      </c>
      <c r="AM48" s="20" t="s">
        <v>80</v>
      </c>
      <c r="AN48" s="21">
        <v>7.6379999999999999</v>
      </c>
      <c r="AO48" s="15">
        <v>100.16392</v>
      </c>
      <c r="AP48" s="15">
        <v>94.152760000000001</v>
      </c>
      <c r="AQ48" s="2">
        <v>86.514759999999995</v>
      </c>
      <c r="AR48" s="15">
        <f>(Table1[[#This Row],[Ipsilateral Hemisphere]]-Table1[[#This Row],[Contralateral Hemisphere]])/Table1[[#This Row],[Contralateral Hemisphere]]*100</f>
        <v>-6.0013226319417248</v>
      </c>
      <c r="AS48" s="15">
        <f>(Table1[[#This Row],[Contralateral Hemisphere]]-Table1[[#This Row],[Ipsilateral Hemisphere]])/Table1[[#This Row],[Contralateral Hemisphere]]*100</f>
        <v>6.0013226319417248</v>
      </c>
      <c r="AT48" s="15" t="str">
        <f>IF(Table1[[#This Row],[Oedema if + contraction if -]]&gt;0,"Oedema","Contraction")</f>
        <v>Contraction</v>
      </c>
      <c r="AU48" s="15">
        <f>Table1[[#This Row],[Contralateral Hemisphere]]-Table1[[#This Row],[Ipsilateral Hemisphere]]</f>
        <v>6.0111600000000038</v>
      </c>
      <c r="AV48" s="7">
        <v>6</v>
      </c>
      <c r="AW48" s="7">
        <v>5</v>
      </c>
      <c r="AX48" s="7">
        <f>Table1[[#This Row],['#sections of lesion]]-Table1[[#This Row],[cortex]]</f>
        <v>1</v>
      </c>
      <c r="AY48" s="7">
        <v>9</v>
      </c>
    </row>
    <row r="49" spans="1:37" x14ac:dyDescent="0.3">
      <c r="A49" s="6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S49" s="6"/>
      <c r="T49" s="6"/>
      <c r="U49" s="24" t="s">
        <v>103</v>
      </c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19">
        <f>AJ45-AJ47</f>
        <v>16.283759999999987</v>
      </c>
      <c r="AK49" s="2">
        <v>16.283759999999987</v>
      </c>
    </row>
    <row r="50" spans="1:37" ht="16.2" thickBot="1" x14ac:dyDescent="0.35">
      <c r="A50" s="6"/>
      <c r="B50" s="2" t="s">
        <v>32</v>
      </c>
      <c r="C50" s="15">
        <v>0.5</v>
      </c>
      <c r="D50" s="15">
        <v>0.57999999999999996</v>
      </c>
      <c r="E50" s="15">
        <v>0.38</v>
      </c>
      <c r="F50" s="15">
        <v>0.54</v>
      </c>
      <c r="G50" s="15">
        <v>0.46</v>
      </c>
      <c r="H50" s="15">
        <v>0.54</v>
      </c>
      <c r="I50" s="15">
        <v>0.46</v>
      </c>
      <c r="J50" s="15">
        <v>0.52</v>
      </c>
      <c r="K50" s="15">
        <v>0.5</v>
      </c>
      <c r="L50" s="15">
        <v>0.48</v>
      </c>
      <c r="M50" s="15"/>
      <c r="N50" s="15"/>
      <c r="O50" s="15"/>
      <c r="P50" s="15"/>
      <c r="Q50" s="15"/>
      <c r="R50" s="16"/>
      <c r="S50" s="6"/>
      <c r="T50" s="6"/>
      <c r="U50" s="8" t="s">
        <v>97</v>
      </c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20"/>
      <c r="AJ50" s="26"/>
    </row>
    <row r="51" spans="1:37" ht="15.75" customHeight="1" x14ac:dyDescent="0.3">
      <c r="A51" s="216" t="s">
        <v>127</v>
      </c>
      <c r="B51" s="13" t="s">
        <v>98</v>
      </c>
      <c r="C51" s="14">
        <v>0</v>
      </c>
      <c r="D51" s="14">
        <v>1.83</v>
      </c>
      <c r="E51" s="14">
        <v>3.4710000000000001</v>
      </c>
      <c r="F51" s="14">
        <v>3.5350000000000001</v>
      </c>
      <c r="G51" s="14">
        <v>3.59</v>
      </c>
      <c r="H51" s="14">
        <v>3.722</v>
      </c>
      <c r="I51" s="14">
        <v>4.0289999999999999</v>
      </c>
      <c r="J51" s="14">
        <v>3.649</v>
      </c>
      <c r="K51" s="14">
        <v>2.1920000000000002</v>
      </c>
      <c r="L51" s="14">
        <v>0.23799999999999999</v>
      </c>
      <c r="M51" s="14">
        <v>0.36599999999999999</v>
      </c>
      <c r="N51" s="14"/>
      <c r="O51" s="14"/>
      <c r="P51" s="15" t="s">
        <v>109</v>
      </c>
      <c r="Q51" s="16">
        <f t="shared" ref="Q51" si="53">COUNTIF(C51:N51, "&gt;0" )</f>
        <v>10</v>
      </c>
      <c r="S51" s="216" t="s">
        <v>127</v>
      </c>
      <c r="T51" s="216" t="s">
        <v>2</v>
      </c>
      <c r="U51" s="17" t="s">
        <v>98</v>
      </c>
      <c r="V51" s="18">
        <f t="shared" ref="V51:AH51" si="54">C51*C58</f>
        <v>0</v>
      </c>
      <c r="W51" s="18">
        <f t="shared" si="54"/>
        <v>0.7320000000000001</v>
      </c>
      <c r="X51" s="18">
        <f t="shared" si="54"/>
        <v>1.7355</v>
      </c>
      <c r="Y51" s="18">
        <f t="shared" si="54"/>
        <v>1.6968000000000001</v>
      </c>
      <c r="Z51" s="18">
        <f t="shared" si="54"/>
        <v>1.7949999999999999</v>
      </c>
      <c r="AA51" s="18">
        <f t="shared" si="54"/>
        <v>1.861</v>
      </c>
      <c r="AB51" s="18">
        <f t="shared" si="54"/>
        <v>2.0950799999999998</v>
      </c>
      <c r="AC51" s="18">
        <f t="shared" si="54"/>
        <v>1.75152</v>
      </c>
      <c r="AD51" s="18">
        <f t="shared" si="54"/>
        <v>1.1398400000000002</v>
      </c>
      <c r="AE51" s="18">
        <f t="shared" si="54"/>
        <v>0.11423999999999999</v>
      </c>
      <c r="AF51" s="18">
        <f t="shared" si="54"/>
        <v>0.183</v>
      </c>
      <c r="AG51" s="18">
        <f t="shared" si="54"/>
        <v>0</v>
      </c>
      <c r="AH51" s="18">
        <f t="shared" si="54"/>
        <v>0</v>
      </c>
      <c r="AI51" s="18">
        <f t="shared" ref="AI51" si="55">R51*R58</f>
        <v>0</v>
      </c>
      <c r="AJ51" s="19">
        <f>SUM(V51:AI51)</f>
        <v>13.10398</v>
      </c>
      <c r="AK51" s="2">
        <v>13.10398</v>
      </c>
    </row>
    <row r="52" spans="1:37" ht="15.75" customHeight="1" x14ac:dyDescent="0.3">
      <c r="A52" s="217"/>
      <c r="B52" s="2" t="s">
        <v>110</v>
      </c>
      <c r="C52" s="15"/>
      <c r="D52" s="15" t="s">
        <v>111</v>
      </c>
      <c r="E52" s="15" t="s">
        <v>128</v>
      </c>
      <c r="F52" s="15" t="s">
        <v>128</v>
      </c>
      <c r="G52" s="15" t="s">
        <v>112</v>
      </c>
      <c r="H52" s="15" t="s">
        <v>125</v>
      </c>
      <c r="I52" s="15" t="s">
        <v>128</v>
      </c>
      <c r="J52" s="15" t="s">
        <v>111</v>
      </c>
      <c r="K52" s="15" t="s">
        <v>111</v>
      </c>
      <c r="L52" s="15" t="s">
        <v>111</v>
      </c>
      <c r="M52" s="15" t="s">
        <v>111</v>
      </c>
      <c r="N52" s="15"/>
      <c r="O52" s="15"/>
      <c r="P52" s="15" t="s">
        <v>105</v>
      </c>
      <c r="Q52" s="15">
        <f t="shared" ref="Q52" si="56">COUNTIF(C52:N52,"Cortex")</f>
        <v>5</v>
      </c>
      <c r="S52" s="217"/>
      <c r="T52" s="217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23"/>
    </row>
    <row r="53" spans="1:37" ht="15.75" customHeight="1" x14ac:dyDescent="0.3">
      <c r="A53" s="217"/>
      <c r="B53" s="2" t="s">
        <v>99</v>
      </c>
      <c r="C53" s="15">
        <v>12.519</v>
      </c>
      <c r="D53" s="15">
        <v>18.675000000000001</v>
      </c>
      <c r="E53" s="15">
        <v>20.911999999999999</v>
      </c>
      <c r="F53" s="15">
        <v>22.599</v>
      </c>
      <c r="G53" s="15">
        <v>23.606999999999999</v>
      </c>
      <c r="H53" s="15">
        <v>24.515999999999998</v>
      </c>
      <c r="I53" s="15">
        <v>26.079000000000001</v>
      </c>
      <c r="J53" s="15">
        <v>25.631</v>
      </c>
      <c r="K53" s="15">
        <v>26.123999999999999</v>
      </c>
      <c r="L53" s="15">
        <v>24.838999999999999</v>
      </c>
      <c r="M53" s="15">
        <v>24.167000000000002</v>
      </c>
      <c r="N53" s="15"/>
      <c r="O53" s="15"/>
      <c r="P53" s="15" t="s">
        <v>106</v>
      </c>
      <c r="Q53" s="15">
        <f t="shared" ref="Q53" si="57">Q51-Q52</f>
        <v>5</v>
      </c>
      <c r="S53" s="217"/>
      <c r="T53" s="217"/>
      <c r="U53" s="8" t="s">
        <v>99</v>
      </c>
      <c r="V53" s="15">
        <f t="shared" ref="V53:AH53" si="58">C53*C58</f>
        <v>6.2595000000000001</v>
      </c>
      <c r="W53" s="15">
        <f t="shared" si="58"/>
        <v>7.4700000000000006</v>
      </c>
      <c r="X53" s="15">
        <f t="shared" si="58"/>
        <v>10.456</v>
      </c>
      <c r="Y53" s="15">
        <f t="shared" si="58"/>
        <v>10.847519999999999</v>
      </c>
      <c r="Z53" s="15">
        <f t="shared" si="58"/>
        <v>11.8035</v>
      </c>
      <c r="AA53" s="15">
        <f t="shared" si="58"/>
        <v>12.257999999999999</v>
      </c>
      <c r="AB53" s="15">
        <f t="shared" si="58"/>
        <v>13.56108</v>
      </c>
      <c r="AC53" s="15">
        <f t="shared" si="58"/>
        <v>12.30288</v>
      </c>
      <c r="AD53" s="15">
        <f t="shared" si="58"/>
        <v>13.584479999999999</v>
      </c>
      <c r="AE53" s="15">
        <f t="shared" si="58"/>
        <v>11.922719999999998</v>
      </c>
      <c r="AF53" s="15">
        <f t="shared" si="58"/>
        <v>12.083500000000001</v>
      </c>
      <c r="AG53" s="15">
        <f t="shared" si="58"/>
        <v>0</v>
      </c>
      <c r="AH53" s="15">
        <f t="shared" si="58"/>
        <v>0</v>
      </c>
      <c r="AI53" s="15">
        <f t="shared" ref="AI53" si="59">R53*R58</f>
        <v>0</v>
      </c>
      <c r="AJ53" s="23">
        <f>SUM(V53:AI53)</f>
        <v>122.54918000000001</v>
      </c>
      <c r="AK53" s="2">
        <v>122.54918000000001</v>
      </c>
    </row>
    <row r="54" spans="1:37" ht="15.75" customHeight="1" x14ac:dyDescent="0.3">
      <c r="A54" s="217"/>
      <c r="B54" s="2" t="s">
        <v>100</v>
      </c>
      <c r="C54" s="15">
        <v>10.128</v>
      </c>
      <c r="D54" s="15">
        <v>16.253</v>
      </c>
      <c r="E54" s="15">
        <v>19.045999999999999</v>
      </c>
      <c r="F54" s="15">
        <v>21.614000000000001</v>
      </c>
      <c r="G54" s="15">
        <v>22.675000000000001</v>
      </c>
      <c r="H54" s="15">
        <v>23.768999999999998</v>
      </c>
      <c r="I54" s="15">
        <v>24.504999999999999</v>
      </c>
      <c r="J54" s="15">
        <v>25.329000000000001</v>
      </c>
      <c r="K54" s="15">
        <v>26.007000000000001</v>
      </c>
      <c r="L54" s="15">
        <v>25.402000000000001</v>
      </c>
      <c r="M54" s="15">
        <v>24.515999999999998</v>
      </c>
      <c r="N54" s="15"/>
      <c r="O54" s="15"/>
      <c r="P54" s="15" t="s">
        <v>113</v>
      </c>
      <c r="Q54" s="16">
        <f t="shared" ref="Q54" si="60">COUNTIF(C51:O51, "&gt;=0" )</f>
        <v>11</v>
      </c>
      <c r="S54" s="217"/>
      <c r="T54" s="217"/>
      <c r="U54" s="8" t="s">
        <v>100</v>
      </c>
      <c r="V54" s="15">
        <f t="shared" ref="V54:AH54" si="61">C54*C58</f>
        <v>5.0640000000000001</v>
      </c>
      <c r="W54" s="15">
        <f t="shared" si="61"/>
        <v>6.5012000000000008</v>
      </c>
      <c r="X54" s="15">
        <f t="shared" si="61"/>
        <v>9.5229999999999997</v>
      </c>
      <c r="Y54" s="15">
        <f t="shared" si="61"/>
        <v>10.37472</v>
      </c>
      <c r="Z54" s="15">
        <f t="shared" si="61"/>
        <v>11.3375</v>
      </c>
      <c r="AA54" s="15">
        <f t="shared" si="61"/>
        <v>11.884499999999999</v>
      </c>
      <c r="AB54" s="15">
        <f t="shared" si="61"/>
        <v>12.742599999999999</v>
      </c>
      <c r="AC54" s="15">
        <f t="shared" si="61"/>
        <v>12.157920000000001</v>
      </c>
      <c r="AD54" s="15">
        <f t="shared" si="61"/>
        <v>13.523640000000002</v>
      </c>
      <c r="AE54" s="15">
        <f t="shared" si="61"/>
        <v>12.192959999999999</v>
      </c>
      <c r="AF54" s="15">
        <f t="shared" si="61"/>
        <v>12.257999999999999</v>
      </c>
      <c r="AG54" s="15">
        <f t="shared" si="61"/>
        <v>0</v>
      </c>
      <c r="AH54" s="15">
        <f t="shared" si="61"/>
        <v>0</v>
      </c>
      <c r="AI54" s="15">
        <f t="shared" ref="AI54" si="62">R54*R58</f>
        <v>0</v>
      </c>
      <c r="AJ54" s="23">
        <f>SUM(V54:AI54)</f>
        <v>117.56004</v>
      </c>
      <c r="AK54" s="2">
        <v>117.56004</v>
      </c>
    </row>
    <row r="55" spans="1:37" x14ac:dyDescent="0.3">
      <c r="A55" s="6"/>
      <c r="B55" s="2" t="s">
        <v>114</v>
      </c>
      <c r="C55" s="15">
        <v>10.128</v>
      </c>
      <c r="D55" s="15">
        <v>14.423</v>
      </c>
      <c r="E55" s="15">
        <v>15.574999999999999</v>
      </c>
      <c r="F55" s="15">
        <v>18.079000000000001</v>
      </c>
      <c r="G55" s="15">
        <v>19.085000000000001</v>
      </c>
      <c r="H55" s="15">
        <v>20.046999999999997</v>
      </c>
      <c r="I55" s="15">
        <v>20.475999999999999</v>
      </c>
      <c r="J55" s="15">
        <v>21.68</v>
      </c>
      <c r="K55" s="15">
        <v>23.815000000000001</v>
      </c>
      <c r="L55" s="15">
        <v>25.164000000000001</v>
      </c>
      <c r="M55" s="15">
        <v>24.15</v>
      </c>
      <c r="N55" s="15"/>
      <c r="O55" s="15"/>
      <c r="P55" s="15"/>
      <c r="Q55" s="15"/>
      <c r="S55" s="6"/>
      <c r="T55" s="6"/>
      <c r="U55" s="8" t="s">
        <v>101</v>
      </c>
      <c r="V55" s="15">
        <f t="shared" ref="V55:AH55" si="63">C55*C58</f>
        <v>5.0640000000000001</v>
      </c>
      <c r="W55" s="15">
        <f t="shared" si="63"/>
        <v>5.7692000000000005</v>
      </c>
      <c r="X55" s="15">
        <f t="shared" si="63"/>
        <v>7.7874999999999996</v>
      </c>
      <c r="Y55" s="15">
        <f t="shared" si="63"/>
        <v>8.6779200000000003</v>
      </c>
      <c r="Z55" s="15">
        <f t="shared" si="63"/>
        <v>9.5425000000000004</v>
      </c>
      <c r="AA55" s="15">
        <f t="shared" si="63"/>
        <v>10.023499999999999</v>
      </c>
      <c r="AB55" s="15">
        <f t="shared" si="63"/>
        <v>10.64752</v>
      </c>
      <c r="AC55" s="15">
        <f t="shared" si="63"/>
        <v>10.4064</v>
      </c>
      <c r="AD55" s="15">
        <f t="shared" si="63"/>
        <v>12.383800000000001</v>
      </c>
      <c r="AE55" s="15">
        <f t="shared" si="63"/>
        <v>12.078720000000001</v>
      </c>
      <c r="AF55" s="15">
        <f t="shared" si="63"/>
        <v>12.074999999999999</v>
      </c>
      <c r="AG55" s="15">
        <f t="shared" si="63"/>
        <v>0</v>
      </c>
      <c r="AH55" s="15">
        <f t="shared" si="63"/>
        <v>0</v>
      </c>
      <c r="AI55" s="15">
        <f t="shared" ref="AI55" si="64">R55*R58</f>
        <v>0</v>
      </c>
      <c r="AJ55" s="23">
        <f>SUM(V55:AI55)</f>
        <v>104.45606000000002</v>
      </c>
      <c r="AK55" s="2">
        <v>104.45606000000002</v>
      </c>
    </row>
    <row r="56" spans="1:37" x14ac:dyDescent="0.3">
      <c r="A56" s="6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S56" s="6"/>
      <c r="T56" s="6"/>
      <c r="U56" s="24" t="s">
        <v>115</v>
      </c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19">
        <f>(AJ53-AJ54)/AJ53*100</f>
        <v>4.07113291170125</v>
      </c>
      <c r="AK56" s="2">
        <v>4.07113291170125</v>
      </c>
    </row>
    <row r="57" spans="1:37" x14ac:dyDescent="0.3">
      <c r="A57" s="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S57" s="6"/>
      <c r="T57" s="6"/>
      <c r="U57" s="24" t="s">
        <v>103</v>
      </c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19">
        <f>AJ53-AJ55</f>
        <v>18.093119999999985</v>
      </c>
      <c r="AK57" s="2">
        <v>18.093119999999985</v>
      </c>
    </row>
    <row r="58" spans="1:37" ht="16.2" thickBot="1" x14ac:dyDescent="0.35">
      <c r="A58" s="6"/>
      <c r="B58" s="2" t="s">
        <v>32</v>
      </c>
      <c r="C58" s="15">
        <v>0.5</v>
      </c>
      <c r="D58" s="15">
        <v>0.4</v>
      </c>
      <c r="E58" s="15">
        <v>0.5</v>
      </c>
      <c r="F58" s="15">
        <v>0.48</v>
      </c>
      <c r="G58" s="15">
        <v>0.5</v>
      </c>
      <c r="H58" s="15">
        <v>0.5</v>
      </c>
      <c r="I58" s="15">
        <v>0.52</v>
      </c>
      <c r="J58" s="15">
        <v>0.48</v>
      </c>
      <c r="K58" s="15">
        <v>0.52</v>
      </c>
      <c r="L58" s="15">
        <v>0.48</v>
      </c>
      <c r="M58" s="15">
        <v>0.5</v>
      </c>
      <c r="N58" s="15"/>
      <c r="O58" s="15"/>
      <c r="P58" s="15"/>
      <c r="Q58" s="15"/>
      <c r="R58" s="16"/>
      <c r="S58" s="6"/>
      <c r="T58" s="6"/>
      <c r="U58" s="8" t="s">
        <v>97</v>
      </c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  <c r="AI58" s="220"/>
      <c r="AJ58" s="26"/>
    </row>
    <row r="59" spans="1:37" ht="15.75" customHeight="1" x14ac:dyDescent="0.3">
      <c r="A59" s="216" t="s">
        <v>129</v>
      </c>
      <c r="B59" s="13" t="s">
        <v>98</v>
      </c>
      <c r="C59" s="14">
        <v>0</v>
      </c>
      <c r="D59" s="14">
        <v>0</v>
      </c>
      <c r="E59" s="14">
        <v>0</v>
      </c>
      <c r="F59" s="14">
        <v>0</v>
      </c>
      <c r="G59" s="14">
        <v>1.385</v>
      </c>
      <c r="H59" s="14">
        <v>1.153</v>
      </c>
      <c r="I59" s="14">
        <v>2.9009999999999998</v>
      </c>
      <c r="J59" s="14">
        <v>3.4390000000000001</v>
      </c>
      <c r="K59" s="14">
        <v>2.1619999999999999</v>
      </c>
      <c r="L59" s="14">
        <v>1.2749999999999999</v>
      </c>
      <c r="M59" s="14">
        <v>0.60099999999999998</v>
      </c>
      <c r="N59" s="14"/>
      <c r="O59" s="14"/>
      <c r="P59" s="15" t="s">
        <v>109</v>
      </c>
      <c r="Q59" s="16">
        <f t="shared" ref="Q59" si="65">COUNTIF(C59:N59, "&gt;0" )</f>
        <v>7</v>
      </c>
      <c r="S59" s="216" t="s">
        <v>129</v>
      </c>
      <c r="T59" s="216" t="s">
        <v>2</v>
      </c>
      <c r="U59" s="17" t="s">
        <v>98</v>
      </c>
      <c r="V59" s="18">
        <f t="shared" ref="V59:AH59" si="66">C59*C66</f>
        <v>0</v>
      </c>
      <c r="W59" s="18">
        <f t="shared" si="66"/>
        <v>0</v>
      </c>
      <c r="X59" s="18">
        <f t="shared" si="66"/>
        <v>0</v>
      </c>
      <c r="Y59" s="18">
        <f t="shared" si="66"/>
        <v>0</v>
      </c>
      <c r="Z59" s="18">
        <f t="shared" si="66"/>
        <v>0.60940000000000005</v>
      </c>
      <c r="AA59" s="18">
        <f t="shared" si="66"/>
        <v>0.59955999999999998</v>
      </c>
      <c r="AB59" s="18">
        <f t="shared" si="66"/>
        <v>1.3924799999999999</v>
      </c>
      <c r="AC59" s="18">
        <f t="shared" si="66"/>
        <v>1.7195</v>
      </c>
      <c r="AD59" s="18">
        <f t="shared" si="66"/>
        <v>1.081</v>
      </c>
      <c r="AE59" s="18">
        <f t="shared" si="66"/>
        <v>0.63749999999999996</v>
      </c>
      <c r="AF59" s="18">
        <f t="shared" si="66"/>
        <v>0.31252000000000002</v>
      </c>
      <c r="AG59" s="18">
        <f t="shared" si="66"/>
        <v>0</v>
      </c>
      <c r="AH59" s="18">
        <f t="shared" si="66"/>
        <v>0</v>
      </c>
      <c r="AI59" s="18">
        <f t="shared" ref="AI59" si="67">R59*R66</f>
        <v>0</v>
      </c>
      <c r="AJ59" s="19">
        <f>SUM(V59:AI59)</f>
        <v>6.3519600000000001</v>
      </c>
      <c r="AK59" s="2">
        <v>6.3519600000000001</v>
      </c>
    </row>
    <row r="60" spans="1:37" ht="15.75" customHeight="1" x14ac:dyDescent="0.3">
      <c r="A60" s="217"/>
      <c r="B60" s="2" t="s">
        <v>110</v>
      </c>
      <c r="C60" s="15"/>
      <c r="D60" s="15"/>
      <c r="E60" s="15"/>
      <c r="F60" s="15"/>
      <c r="G60" s="15" t="s">
        <v>111</v>
      </c>
      <c r="H60" s="15" t="s">
        <v>111</v>
      </c>
      <c r="I60" s="15" t="s">
        <v>111</v>
      </c>
      <c r="J60" s="15" t="s">
        <v>111</v>
      </c>
      <c r="K60" s="15" t="s">
        <v>112</v>
      </c>
      <c r="L60" s="15" t="s">
        <v>112</v>
      </c>
      <c r="M60" s="15" t="s">
        <v>112</v>
      </c>
      <c r="N60" s="15"/>
      <c r="O60" s="15"/>
      <c r="P60" s="15" t="s">
        <v>105</v>
      </c>
      <c r="Q60" s="15">
        <f t="shared" ref="Q60" si="68">COUNTIF(C60:N60,"Cortex")</f>
        <v>4</v>
      </c>
      <c r="S60" s="217"/>
      <c r="T60" s="217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23"/>
    </row>
    <row r="61" spans="1:37" ht="15.75" customHeight="1" x14ac:dyDescent="0.3">
      <c r="A61" s="217"/>
      <c r="B61" s="2" t="s">
        <v>99</v>
      </c>
      <c r="C61" s="15">
        <v>12.877000000000001</v>
      </c>
      <c r="D61" s="15">
        <v>14.930999999999999</v>
      </c>
      <c r="E61" s="15">
        <v>17.634</v>
      </c>
      <c r="F61" s="15">
        <v>19.427</v>
      </c>
      <c r="G61" s="15">
        <v>21.809000000000001</v>
      </c>
      <c r="H61" s="15">
        <v>23.367000000000001</v>
      </c>
      <c r="I61" s="15">
        <v>25.119</v>
      </c>
      <c r="J61" s="15">
        <v>25.53</v>
      </c>
      <c r="K61" s="15">
        <v>25.613</v>
      </c>
      <c r="L61" s="15">
        <v>26.138999999999999</v>
      </c>
      <c r="M61" s="15">
        <v>25.646000000000001</v>
      </c>
      <c r="N61" s="15"/>
      <c r="O61" s="15"/>
      <c r="P61" s="15" t="s">
        <v>106</v>
      </c>
      <c r="Q61" s="15">
        <f t="shared" ref="Q61" si="69">Q59-Q60</f>
        <v>3</v>
      </c>
      <c r="S61" s="217"/>
      <c r="T61" s="217"/>
      <c r="U61" s="8" t="s">
        <v>99</v>
      </c>
      <c r="V61" s="15">
        <f t="shared" ref="V61:AH61" si="70">C61*C66</f>
        <v>6.4385000000000003</v>
      </c>
      <c r="W61" s="15">
        <f t="shared" si="70"/>
        <v>7.4654999999999996</v>
      </c>
      <c r="X61" s="15">
        <f t="shared" si="70"/>
        <v>8.8170000000000002</v>
      </c>
      <c r="Y61" s="15">
        <f t="shared" si="70"/>
        <v>10.87912</v>
      </c>
      <c r="Z61" s="15">
        <f t="shared" si="70"/>
        <v>9.5959599999999998</v>
      </c>
      <c r="AA61" s="15">
        <f t="shared" si="70"/>
        <v>12.150840000000001</v>
      </c>
      <c r="AB61" s="15">
        <f t="shared" si="70"/>
        <v>12.057119999999999</v>
      </c>
      <c r="AC61" s="15">
        <f t="shared" si="70"/>
        <v>12.765000000000001</v>
      </c>
      <c r="AD61" s="15">
        <f t="shared" si="70"/>
        <v>12.8065</v>
      </c>
      <c r="AE61" s="15">
        <f t="shared" si="70"/>
        <v>13.0695</v>
      </c>
      <c r="AF61" s="15">
        <f t="shared" si="70"/>
        <v>13.335920000000002</v>
      </c>
      <c r="AG61" s="15">
        <f t="shared" si="70"/>
        <v>0</v>
      </c>
      <c r="AH61" s="15">
        <f t="shared" si="70"/>
        <v>0</v>
      </c>
      <c r="AI61" s="15">
        <f t="shared" ref="AI61" si="71">R61*R66</f>
        <v>0</v>
      </c>
      <c r="AJ61" s="23">
        <f>SUM(V61:AI61)</f>
        <v>119.38096000000002</v>
      </c>
      <c r="AK61" s="2">
        <v>119.38096000000002</v>
      </c>
    </row>
    <row r="62" spans="1:37" ht="15.75" customHeight="1" x14ac:dyDescent="0.3">
      <c r="A62" s="217"/>
      <c r="B62" s="2" t="s">
        <v>100</v>
      </c>
      <c r="C62" s="15">
        <v>11.563000000000001</v>
      </c>
      <c r="D62" s="15">
        <v>14.159000000000001</v>
      </c>
      <c r="E62" s="15">
        <v>17.010999999999999</v>
      </c>
      <c r="F62" s="15">
        <v>19.026</v>
      </c>
      <c r="G62" s="15">
        <v>20.324999999999999</v>
      </c>
      <c r="H62" s="15">
        <v>22.259999999999998</v>
      </c>
      <c r="I62" s="15">
        <v>24.068999999999999</v>
      </c>
      <c r="J62" s="15">
        <v>25.105</v>
      </c>
      <c r="K62" s="15">
        <v>26.302</v>
      </c>
      <c r="L62" s="15">
        <v>26.332999999999998</v>
      </c>
      <c r="M62" s="15">
        <v>25.513999999999999</v>
      </c>
      <c r="N62" s="15"/>
      <c r="O62" s="15"/>
      <c r="P62" s="15" t="s">
        <v>113</v>
      </c>
      <c r="Q62" s="16">
        <f t="shared" ref="Q62" si="72">COUNTIF(C59:O59, "&gt;=0" )</f>
        <v>11</v>
      </c>
      <c r="S62" s="217"/>
      <c r="T62" s="217"/>
      <c r="U62" s="8" t="s">
        <v>100</v>
      </c>
      <c r="V62" s="15">
        <f t="shared" ref="V62:AH62" si="73">C62*C66</f>
        <v>5.7815000000000003</v>
      </c>
      <c r="W62" s="15">
        <f t="shared" si="73"/>
        <v>7.0795000000000003</v>
      </c>
      <c r="X62" s="15">
        <f t="shared" si="73"/>
        <v>8.5054999999999996</v>
      </c>
      <c r="Y62" s="15">
        <f t="shared" si="73"/>
        <v>10.65456</v>
      </c>
      <c r="Z62" s="15">
        <f t="shared" si="73"/>
        <v>8.9429999999999996</v>
      </c>
      <c r="AA62" s="15">
        <f t="shared" si="73"/>
        <v>11.575199999999999</v>
      </c>
      <c r="AB62" s="15">
        <f t="shared" si="73"/>
        <v>11.55312</v>
      </c>
      <c r="AC62" s="15">
        <f t="shared" si="73"/>
        <v>12.5525</v>
      </c>
      <c r="AD62" s="15">
        <f t="shared" si="73"/>
        <v>13.151</v>
      </c>
      <c r="AE62" s="15">
        <f t="shared" si="73"/>
        <v>13.166499999999999</v>
      </c>
      <c r="AF62" s="15">
        <f t="shared" si="73"/>
        <v>13.26728</v>
      </c>
      <c r="AG62" s="15">
        <f t="shared" si="73"/>
        <v>0</v>
      </c>
      <c r="AH62" s="15">
        <f t="shared" si="73"/>
        <v>0</v>
      </c>
      <c r="AI62" s="15">
        <f t="shared" ref="AI62" si="74">R62*R66</f>
        <v>0</v>
      </c>
      <c r="AJ62" s="23">
        <f>SUM(V62:AI62)</f>
        <v>116.22965999999998</v>
      </c>
      <c r="AK62" s="2">
        <v>116.22965999999998</v>
      </c>
    </row>
    <row r="63" spans="1:37" x14ac:dyDescent="0.3">
      <c r="A63" s="6"/>
      <c r="B63" s="2" t="s">
        <v>114</v>
      </c>
      <c r="C63" s="15">
        <v>11.563000000000001</v>
      </c>
      <c r="D63" s="15">
        <v>14.159000000000001</v>
      </c>
      <c r="E63" s="15">
        <v>17.010999999999999</v>
      </c>
      <c r="F63" s="15">
        <v>19.026</v>
      </c>
      <c r="G63" s="15">
        <v>18.939999999999998</v>
      </c>
      <c r="H63" s="15">
        <v>21.106999999999999</v>
      </c>
      <c r="I63" s="15">
        <v>21.167999999999999</v>
      </c>
      <c r="J63" s="15">
        <v>21.666</v>
      </c>
      <c r="K63" s="15">
        <v>24.14</v>
      </c>
      <c r="L63" s="15">
        <v>25.058</v>
      </c>
      <c r="M63" s="15">
        <v>24.913</v>
      </c>
      <c r="N63" s="15"/>
      <c r="O63" s="15"/>
      <c r="P63" s="15"/>
      <c r="Q63" s="15"/>
      <c r="S63" s="6"/>
      <c r="T63" s="6"/>
      <c r="U63" s="8" t="s">
        <v>101</v>
      </c>
      <c r="V63" s="15">
        <f t="shared" ref="V63:AH63" si="75">C63*C66</f>
        <v>5.7815000000000003</v>
      </c>
      <c r="W63" s="15">
        <f t="shared" si="75"/>
        <v>7.0795000000000003</v>
      </c>
      <c r="X63" s="15">
        <f t="shared" si="75"/>
        <v>8.5054999999999996</v>
      </c>
      <c r="Y63" s="15">
        <f t="shared" si="75"/>
        <v>10.65456</v>
      </c>
      <c r="Z63" s="15">
        <f t="shared" si="75"/>
        <v>8.3335999999999988</v>
      </c>
      <c r="AA63" s="15">
        <f t="shared" si="75"/>
        <v>10.97564</v>
      </c>
      <c r="AB63" s="15">
        <f t="shared" si="75"/>
        <v>10.160639999999999</v>
      </c>
      <c r="AC63" s="15">
        <f t="shared" si="75"/>
        <v>10.833</v>
      </c>
      <c r="AD63" s="15">
        <f t="shared" si="75"/>
        <v>12.07</v>
      </c>
      <c r="AE63" s="15">
        <f t="shared" si="75"/>
        <v>12.529</v>
      </c>
      <c r="AF63" s="15">
        <f t="shared" si="75"/>
        <v>12.95476</v>
      </c>
      <c r="AG63" s="15">
        <f t="shared" si="75"/>
        <v>0</v>
      </c>
      <c r="AH63" s="15">
        <f t="shared" si="75"/>
        <v>0</v>
      </c>
      <c r="AI63" s="15">
        <f t="shared" ref="AI63" si="76">R63*R66</f>
        <v>0</v>
      </c>
      <c r="AJ63" s="23">
        <f>SUM(V63:AI63)</f>
        <v>109.8777</v>
      </c>
      <c r="AK63" s="2">
        <v>109.8777</v>
      </c>
    </row>
    <row r="64" spans="1:37" x14ac:dyDescent="0.3">
      <c r="A64" s="6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S64" s="6"/>
      <c r="T64" s="6"/>
      <c r="U64" s="24" t="s">
        <v>115</v>
      </c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19">
        <f>(AJ61-AJ62)/AJ61*100</f>
        <v>2.6397006691854665</v>
      </c>
      <c r="AK64" s="2">
        <v>2.6397006691854665</v>
      </c>
    </row>
    <row r="65" spans="1:37" x14ac:dyDescent="0.3">
      <c r="A65" s="6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S65" s="6"/>
      <c r="T65" s="6"/>
      <c r="U65" s="24" t="s">
        <v>103</v>
      </c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19">
        <f>AJ61-AJ63</f>
        <v>9.5032600000000116</v>
      </c>
      <c r="AK65" s="2">
        <v>9.5032600000000116</v>
      </c>
    </row>
    <row r="66" spans="1:37" ht="14.25" customHeight="1" thickBot="1" x14ac:dyDescent="0.35">
      <c r="A66" s="6"/>
      <c r="B66" s="2" t="s">
        <v>32</v>
      </c>
      <c r="C66" s="15">
        <v>0.5</v>
      </c>
      <c r="D66" s="15">
        <v>0.5</v>
      </c>
      <c r="E66" s="15">
        <v>0.5</v>
      </c>
      <c r="F66" s="15">
        <v>0.56000000000000005</v>
      </c>
      <c r="G66" s="15">
        <v>0.44</v>
      </c>
      <c r="H66" s="15">
        <v>0.52</v>
      </c>
      <c r="I66" s="15">
        <v>0.48</v>
      </c>
      <c r="J66" s="15">
        <v>0.5</v>
      </c>
      <c r="K66" s="15">
        <v>0.5</v>
      </c>
      <c r="L66" s="15">
        <v>0.5</v>
      </c>
      <c r="M66" s="15">
        <v>0.52</v>
      </c>
      <c r="N66" s="15"/>
      <c r="O66" s="15"/>
      <c r="P66" s="15"/>
      <c r="Q66" s="15"/>
      <c r="R66" s="16"/>
      <c r="S66" s="6"/>
      <c r="T66" s="6"/>
      <c r="U66" s="8" t="s">
        <v>97</v>
      </c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20"/>
      <c r="AJ66" s="26"/>
    </row>
    <row r="67" spans="1:37" ht="15.75" customHeight="1" x14ac:dyDescent="0.3">
      <c r="A67" s="216" t="s">
        <v>130</v>
      </c>
      <c r="B67" s="13" t="s">
        <v>98</v>
      </c>
      <c r="C67" s="14">
        <v>0.41499999999999998</v>
      </c>
      <c r="D67" s="14">
        <v>0.84499999999999997</v>
      </c>
      <c r="E67" s="14">
        <v>1.595</v>
      </c>
      <c r="F67" s="14">
        <v>2.601</v>
      </c>
      <c r="G67" s="14">
        <v>3.5009999999999999</v>
      </c>
      <c r="H67" s="14">
        <v>3.9610000000000003</v>
      </c>
      <c r="I67" s="14">
        <v>2.9350000000000001</v>
      </c>
      <c r="J67" s="14">
        <v>1.458</v>
      </c>
      <c r="K67" s="14">
        <v>1.427</v>
      </c>
      <c r="L67" s="14">
        <v>0.79400000000000004</v>
      </c>
      <c r="M67" s="14">
        <v>0.95399999999999996</v>
      </c>
      <c r="N67" s="14">
        <v>0.20200000000000001</v>
      </c>
      <c r="O67" s="14"/>
      <c r="P67" s="15" t="s">
        <v>109</v>
      </c>
      <c r="Q67" s="16">
        <f t="shared" ref="Q67" si="77">COUNTIF(C67:N67, "&gt;0" )</f>
        <v>12</v>
      </c>
      <c r="S67" s="216" t="s">
        <v>130</v>
      </c>
      <c r="T67" s="216" t="s">
        <v>2</v>
      </c>
      <c r="U67" s="17" t="s">
        <v>98</v>
      </c>
      <c r="V67" s="18">
        <f t="shared" ref="V67:AH67" si="78">C67*C74</f>
        <v>0.20749999999999999</v>
      </c>
      <c r="W67" s="18">
        <f t="shared" si="78"/>
        <v>0.42249999999999999</v>
      </c>
      <c r="X67" s="18">
        <f t="shared" si="78"/>
        <v>0.79749999999999999</v>
      </c>
      <c r="Y67" s="18">
        <f t="shared" si="78"/>
        <v>1.3005</v>
      </c>
      <c r="Z67" s="18">
        <f t="shared" si="78"/>
        <v>1.7504999999999999</v>
      </c>
      <c r="AA67" s="18">
        <f t="shared" si="78"/>
        <v>1.9805000000000001</v>
      </c>
      <c r="AB67" s="18">
        <f t="shared" si="78"/>
        <v>1.4675</v>
      </c>
      <c r="AC67" s="18">
        <f t="shared" si="78"/>
        <v>0.72899999999999998</v>
      </c>
      <c r="AD67" s="18">
        <f t="shared" si="78"/>
        <v>0.71350000000000002</v>
      </c>
      <c r="AE67" s="18">
        <f t="shared" si="78"/>
        <v>0.39700000000000002</v>
      </c>
      <c r="AF67" s="18">
        <f t="shared" si="78"/>
        <v>0.47699999999999998</v>
      </c>
      <c r="AG67" s="18">
        <f t="shared" si="78"/>
        <v>0.10100000000000001</v>
      </c>
      <c r="AH67" s="18">
        <f t="shared" si="78"/>
        <v>0</v>
      </c>
      <c r="AI67" s="18">
        <f t="shared" ref="AI67" si="79">R67*R74</f>
        <v>0</v>
      </c>
      <c r="AJ67" s="19">
        <f>SUM(V67:AI67)</f>
        <v>10.344000000000001</v>
      </c>
      <c r="AK67" s="2">
        <v>10.344000000000001</v>
      </c>
    </row>
    <row r="68" spans="1:37" ht="15.75" customHeight="1" x14ac:dyDescent="0.3">
      <c r="A68" s="217"/>
      <c r="B68" s="2" t="s">
        <v>110</v>
      </c>
      <c r="C68" s="15" t="s">
        <v>111</v>
      </c>
      <c r="D68" s="15" t="s">
        <v>111</v>
      </c>
      <c r="E68" s="15" t="s">
        <v>111</v>
      </c>
      <c r="F68" s="15" t="s">
        <v>112</v>
      </c>
      <c r="G68" s="15" t="s">
        <v>131</v>
      </c>
      <c r="H68" s="15" t="s">
        <v>131</v>
      </c>
      <c r="I68" s="15" t="s">
        <v>112</v>
      </c>
      <c r="J68" s="15" t="s">
        <v>112</v>
      </c>
      <c r="K68" s="15" t="s">
        <v>111</v>
      </c>
      <c r="L68" s="15" t="s">
        <v>111</v>
      </c>
      <c r="M68" s="15" t="s">
        <v>111</v>
      </c>
      <c r="N68" s="15" t="s">
        <v>111</v>
      </c>
      <c r="O68" s="15"/>
      <c r="P68" s="15" t="s">
        <v>105</v>
      </c>
      <c r="Q68" s="15">
        <f t="shared" ref="Q68" si="80">COUNTIF(C68:N68,"Cortex")</f>
        <v>7</v>
      </c>
      <c r="S68" s="217"/>
      <c r="T68" s="217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23"/>
    </row>
    <row r="69" spans="1:37" ht="15.75" customHeight="1" x14ac:dyDescent="0.3">
      <c r="A69" s="217"/>
      <c r="B69" s="2" t="s">
        <v>99</v>
      </c>
      <c r="C69" s="15">
        <v>11.266</v>
      </c>
      <c r="D69" s="15">
        <v>14.885999999999999</v>
      </c>
      <c r="E69" s="15">
        <v>19.402000000000001</v>
      </c>
      <c r="F69" s="15">
        <v>21.087</v>
      </c>
      <c r="G69" s="15">
        <v>23.314</v>
      </c>
      <c r="H69" s="15">
        <v>25.114000000000001</v>
      </c>
      <c r="I69" s="15">
        <v>26.004000000000001</v>
      </c>
      <c r="J69" s="15">
        <v>25.637</v>
      </c>
      <c r="K69" s="15">
        <v>26.474</v>
      </c>
      <c r="L69" s="15">
        <v>25.956</v>
      </c>
      <c r="M69" s="15">
        <v>24.949000000000002</v>
      </c>
      <c r="N69" s="15">
        <v>23.919</v>
      </c>
      <c r="O69" s="15"/>
      <c r="P69" s="15" t="s">
        <v>106</v>
      </c>
      <c r="Q69" s="15">
        <f t="shared" ref="Q69" si="81">Q67-Q68</f>
        <v>5</v>
      </c>
      <c r="S69" s="217"/>
      <c r="T69" s="217"/>
      <c r="U69" s="8" t="s">
        <v>99</v>
      </c>
      <c r="V69" s="15">
        <f t="shared" ref="V69:AH69" si="82">C69*C74</f>
        <v>5.633</v>
      </c>
      <c r="W69" s="15">
        <f t="shared" si="82"/>
        <v>7.4429999999999996</v>
      </c>
      <c r="X69" s="15">
        <f t="shared" si="82"/>
        <v>9.7010000000000005</v>
      </c>
      <c r="Y69" s="15">
        <f t="shared" si="82"/>
        <v>10.5435</v>
      </c>
      <c r="Z69" s="15">
        <f t="shared" si="82"/>
        <v>11.657</v>
      </c>
      <c r="AA69" s="15">
        <f t="shared" si="82"/>
        <v>12.557</v>
      </c>
      <c r="AB69" s="15">
        <f t="shared" si="82"/>
        <v>13.002000000000001</v>
      </c>
      <c r="AC69" s="15">
        <f t="shared" si="82"/>
        <v>12.8185</v>
      </c>
      <c r="AD69" s="15">
        <f t="shared" si="82"/>
        <v>13.237</v>
      </c>
      <c r="AE69" s="15">
        <f t="shared" si="82"/>
        <v>12.978</v>
      </c>
      <c r="AF69" s="15">
        <f t="shared" si="82"/>
        <v>12.474500000000001</v>
      </c>
      <c r="AG69" s="15">
        <f t="shared" si="82"/>
        <v>11.9595</v>
      </c>
      <c r="AH69" s="15">
        <f t="shared" si="82"/>
        <v>0</v>
      </c>
      <c r="AI69" s="15">
        <f t="shared" ref="AI69" si="83">R69*R74</f>
        <v>0</v>
      </c>
      <c r="AJ69" s="23">
        <f>SUM(V69:AI69)</f>
        <v>134.00399999999999</v>
      </c>
      <c r="AK69" s="2">
        <v>134.00399999999999</v>
      </c>
    </row>
    <row r="70" spans="1:37" ht="15.75" customHeight="1" x14ac:dyDescent="0.3">
      <c r="A70" s="217"/>
      <c r="B70" s="2" t="s">
        <v>100</v>
      </c>
      <c r="C70" s="15">
        <v>12.342000000000001</v>
      </c>
      <c r="D70" s="15">
        <v>14.442</v>
      </c>
      <c r="E70" s="15">
        <v>18.603000000000002</v>
      </c>
      <c r="F70" s="15">
        <v>20.286000000000001</v>
      </c>
      <c r="G70" s="15">
        <v>23.152999999999999</v>
      </c>
      <c r="H70" s="15">
        <v>24.097000000000001</v>
      </c>
      <c r="I70" s="15">
        <v>25.114999999999998</v>
      </c>
      <c r="J70" s="15">
        <v>26.021000000000001</v>
      </c>
      <c r="K70" s="15">
        <v>25.571999999999999</v>
      </c>
      <c r="L70" s="15">
        <v>25.055</v>
      </c>
      <c r="M70" s="15">
        <v>24.795000000000002</v>
      </c>
      <c r="N70" s="15">
        <v>24.381</v>
      </c>
      <c r="O70" s="15"/>
      <c r="P70" s="15" t="s">
        <v>113</v>
      </c>
      <c r="Q70" s="16">
        <f t="shared" ref="Q70" si="84">COUNTIF(C67:O67, "&gt;=0" )</f>
        <v>12</v>
      </c>
      <c r="S70" s="217"/>
      <c r="T70" s="217"/>
      <c r="U70" s="8" t="s">
        <v>100</v>
      </c>
      <c r="V70" s="15">
        <f t="shared" ref="V70:AH70" si="85">C70*C74</f>
        <v>6.1710000000000003</v>
      </c>
      <c r="W70" s="15">
        <f t="shared" si="85"/>
        <v>7.2210000000000001</v>
      </c>
      <c r="X70" s="15">
        <f t="shared" si="85"/>
        <v>9.3015000000000008</v>
      </c>
      <c r="Y70" s="15">
        <f t="shared" si="85"/>
        <v>10.143000000000001</v>
      </c>
      <c r="Z70" s="15">
        <f t="shared" si="85"/>
        <v>11.576499999999999</v>
      </c>
      <c r="AA70" s="15">
        <f t="shared" si="85"/>
        <v>12.048500000000001</v>
      </c>
      <c r="AB70" s="15">
        <f t="shared" si="85"/>
        <v>12.557499999999999</v>
      </c>
      <c r="AC70" s="15">
        <f t="shared" si="85"/>
        <v>13.0105</v>
      </c>
      <c r="AD70" s="15">
        <f t="shared" si="85"/>
        <v>12.786</v>
      </c>
      <c r="AE70" s="15">
        <f t="shared" si="85"/>
        <v>12.5275</v>
      </c>
      <c r="AF70" s="15">
        <f t="shared" si="85"/>
        <v>12.397500000000001</v>
      </c>
      <c r="AG70" s="15">
        <f t="shared" si="85"/>
        <v>12.1905</v>
      </c>
      <c r="AH70" s="15">
        <f t="shared" si="85"/>
        <v>0</v>
      </c>
      <c r="AI70" s="15">
        <f t="shared" ref="AI70" si="86">R70*R74</f>
        <v>0</v>
      </c>
      <c r="AJ70" s="23">
        <f>SUM(V70:AI70)</f>
        <v>131.93100000000004</v>
      </c>
      <c r="AK70" s="2">
        <v>131.93100000000004</v>
      </c>
    </row>
    <row r="71" spans="1:37" x14ac:dyDescent="0.3">
      <c r="A71" s="217"/>
      <c r="B71" s="2" t="s">
        <v>114</v>
      </c>
      <c r="C71" s="15">
        <v>11.927000000000001</v>
      </c>
      <c r="D71" s="15">
        <v>13.597</v>
      </c>
      <c r="E71" s="15">
        <v>17.008000000000003</v>
      </c>
      <c r="F71" s="15">
        <v>17.685000000000002</v>
      </c>
      <c r="G71" s="15">
        <v>19.651999999999997</v>
      </c>
      <c r="H71" s="15">
        <v>20.136000000000003</v>
      </c>
      <c r="I71" s="15">
        <v>22.18</v>
      </c>
      <c r="J71" s="15">
        <v>24.563000000000002</v>
      </c>
      <c r="K71" s="15">
        <v>24.145</v>
      </c>
      <c r="L71" s="15">
        <v>24.260999999999999</v>
      </c>
      <c r="M71" s="15">
        <v>23.841000000000001</v>
      </c>
      <c r="N71" s="15">
        <v>24.178999999999998</v>
      </c>
      <c r="O71" s="15"/>
      <c r="P71" s="15"/>
      <c r="Q71" s="15"/>
      <c r="S71" s="217"/>
      <c r="T71" s="217"/>
      <c r="U71" s="8" t="s">
        <v>101</v>
      </c>
      <c r="V71" s="15">
        <f t="shared" ref="V71:AH71" si="87">C71*C74</f>
        <v>5.9635000000000007</v>
      </c>
      <c r="W71" s="15">
        <f t="shared" si="87"/>
        <v>6.7984999999999998</v>
      </c>
      <c r="X71" s="15">
        <f t="shared" si="87"/>
        <v>8.5040000000000013</v>
      </c>
      <c r="Y71" s="15">
        <f t="shared" si="87"/>
        <v>8.8425000000000011</v>
      </c>
      <c r="Z71" s="15">
        <f t="shared" si="87"/>
        <v>9.8259999999999987</v>
      </c>
      <c r="AA71" s="15">
        <f t="shared" si="87"/>
        <v>10.068000000000001</v>
      </c>
      <c r="AB71" s="15">
        <f t="shared" si="87"/>
        <v>11.09</v>
      </c>
      <c r="AC71" s="15">
        <f t="shared" si="87"/>
        <v>12.281500000000001</v>
      </c>
      <c r="AD71" s="15">
        <f t="shared" si="87"/>
        <v>12.0725</v>
      </c>
      <c r="AE71" s="15">
        <f t="shared" si="87"/>
        <v>12.1305</v>
      </c>
      <c r="AF71" s="15">
        <f t="shared" si="87"/>
        <v>11.920500000000001</v>
      </c>
      <c r="AG71" s="15">
        <f t="shared" si="87"/>
        <v>12.089499999999999</v>
      </c>
      <c r="AH71" s="15">
        <f t="shared" si="87"/>
        <v>0</v>
      </c>
      <c r="AI71" s="15">
        <f t="shared" ref="AI71" si="88">R71*R74</f>
        <v>0</v>
      </c>
      <c r="AJ71" s="23">
        <f>SUM(V71:AI71)</f>
        <v>121.587</v>
      </c>
      <c r="AK71" s="2">
        <v>121.587</v>
      </c>
    </row>
    <row r="72" spans="1:37" x14ac:dyDescent="0.3">
      <c r="A72" s="217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S72" s="217"/>
      <c r="T72" s="217"/>
      <c r="U72" s="24" t="s">
        <v>115</v>
      </c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19">
        <f>(AJ69-AJ70)/AJ69*100</f>
        <v>1.5469687472015392</v>
      </c>
      <c r="AK72" s="2">
        <v>1.5469687472015392</v>
      </c>
    </row>
    <row r="73" spans="1:37" x14ac:dyDescent="0.3">
      <c r="A73" s="21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S73" s="217"/>
      <c r="T73" s="217"/>
      <c r="U73" s="24" t="s">
        <v>103</v>
      </c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19">
        <f>AJ69-AJ71</f>
        <v>12.416999999999987</v>
      </c>
      <c r="AK73" s="2">
        <v>12.416999999999987</v>
      </c>
    </row>
    <row r="74" spans="1:37" ht="15.75" customHeight="1" thickBot="1" x14ac:dyDescent="0.35">
      <c r="A74" s="217"/>
      <c r="B74" s="2" t="s">
        <v>32</v>
      </c>
      <c r="C74" s="15">
        <v>0.5</v>
      </c>
      <c r="D74" s="15">
        <v>0.5</v>
      </c>
      <c r="E74" s="15">
        <v>0.5</v>
      </c>
      <c r="F74" s="15">
        <v>0.5</v>
      </c>
      <c r="G74" s="15">
        <v>0.5</v>
      </c>
      <c r="H74" s="15">
        <v>0.5</v>
      </c>
      <c r="I74" s="15">
        <v>0.5</v>
      </c>
      <c r="J74" s="15">
        <v>0.5</v>
      </c>
      <c r="K74" s="15">
        <v>0.5</v>
      </c>
      <c r="L74" s="15">
        <v>0.5</v>
      </c>
      <c r="M74" s="15">
        <v>0.5</v>
      </c>
      <c r="N74" s="15">
        <v>0.5</v>
      </c>
      <c r="O74" s="15"/>
      <c r="P74" s="15"/>
      <c r="Q74" s="15"/>
      <c r="S74" s="217"/>
      <c r="T74" s="217"/>
      <c r="U74" s="8" t="s">
        <v>97</v>
      </c>
      <c r="V74" s="221" t="s">
        <v>119</v>
      </c>
      <c r="W74" s="221"/>
      <c r="X74" s="221"/>
      <c r="Y74" s="221"/>
      <c r="Z74" s="221"/>
      <c r="AA74" s="221"/>
      <c r="AB74" s="221"/>
      <c r="AC74" s="221"/>
      <c r="AD74" s="221"/>
      <c r="AE74" s="221"/>
      <c r="AF74" s="221"/>
      <c r="AG74" s="221"/>
      <c r="AH74" s="221"/>
      <c r="AI74" s="222"/>
      <c r="AJ74" s="26"/>
    </row>
    <row r="75" spans="1:37" ht="15.75" customHeight="1" x14ac:dyDescent="0.3">
      <c r="A75" s="216" t="s">
        <v>132</v>
      </c>
      <c r="B75" s="13" t="s">
        <v>98</v>
      </c>
      <c r="C75" s="14">
        <v>0</v>
      </c>
      <c r="D75" s="14">
        <v>3.649</v>
      </c>
      <c r="E75" s="14">
        <v>3.431</v>
      </c>
      <c r="F75" s="14">
        <v>3.5219999999999998</v>
      </c>
      <c r="G75" s="14">
        <v>3.6179999999999999</v>
      </c>
      <c r="H75" s="14">
        <v>2.74</v>
      </c>
      <c r="I75" s="14">
        <v>2.4929999999999999</v>
      </c>
      <c r="J75" s="27">
        <v>0.65999999999999992</v>
      </c>
      <c r="K75" s="14">
        <v>0.17899999999999999</v>
      </c>
      <c r="L75" s="14">
        <v>3.1E-2</v>
      </c>
      <c r="M75" s="14"/>
      <c r="N75" s="14"/>
      <c r="O75" s="14"/>
      <c r="P75" s="15" t="s">
        <v>109</v>
      </c>
      <c r="Q75" s="16">
        <f t="shared" ref="Q75" si="89">COUNTIF(C75:N75, "&gt;0" )</f>
        <v>9</v>
      </c>
      <c r="S75" s="216" t="s">
        <v>132</v>
      </c>
      <c r="T75" s="216" t="s">
        <v>2</v>
      </c>
      <c r="U75" s="17" t="s">
        <v>98</v>
      </c>
      <c r="V75" s="18">
        <f t="shared" ref="V75:AH75" si="90">C75*C82</f>
        <v>0</v>
      </c>
      <c r="W75" s="18">
        <f t="shared" si="90"/>
        <v>1.2406599999999999</v>
      </c>
      <c r="X75" s="18">
        <f t="shared" si="90"/>
        <v>1.7155</v>
      </c>
      <c r="Y75" s="18">
        <f t="shared" si="90"/>
        <v>1.83144</v>
      </c>
      <c r="Z75" s="18">
        <f t="shared" si="90"/>
        <v>1.66428</v>
      </c>
      <c r="AA75" s="18">
        <f t="shared" si="90"/>
        <v>1.4796000000000002</v>
      </c>
      <c r="AB75" s="18">
        <f t="shared" si="90"/>
        <v>1.2464999999999999</v>
      </c>
      <c r="AC75" s="18">
        <f t="shared" si="90"/>
        <v>0.30359999999999998</v>
      </c>
      <c r="AD75" s="18">
        <f t="shared" si="90"/>
        <v>8.9499999999999996E-2</v>
      </c>
      <c r="AE75" s="18">
        <f t="shared" si="90"/>
        <v>1.55E-2</v>
      </c>
      <c r="AF75" s="18">
        <f t="shared" si="90"/>
        <v>0</v>
      </c>
      <c r="AG75" s="18">
        <f t="shared" si="90"/>
        <v>0</v>
      </c>
      <c r="AH75" s="18">
        <f t="shared" si="90"/>
        <v>0</v>
      </c>
      <c r="AI75" s="18">
        <f t="shared" ref="AI75" si="91">R75*R82</f>
        <v>0</v>
      </c>
      <c r="AJ75" s="19">
        <f>SUM(V75:AI75)</f>
        <v>9.5865799999999979</v>
      </c>
      <c r="AK75" s="2">
        <v>9.5865799999999979</v>
      </c>
    </row>
    <row r="76" spans="1:37" ht="15.75" customHeight="1" x14ac:dyDescent="0.3">
      <c r="A76" s="217"/>
      <c r="B76" s="2" t="s">
        <v>110</v>
      </c>
      <c r="C76" s="15"/>
      <c r="D76" s="15" t="s">
        <v>112</v>
      </c>
      <c r="E76" s="15" t="s">
        <v>112</v>
      </c>
      <c r="F76" s="15" t="s">
        <v>112</v>
      </c>
      <c r="G76" s="15" t="s">
        <v>112</v>
      </c>
      <c r="H76" s="15" t="s">
        <v>112</v>
      </c>
      <c r="I76" s="15" t="s">
        <v>112</v>
      </c>
      <c r="J76" s="15" t="s">
        <v>111</v>
      </c>
      <c r="K76" s="15" t="s">
        <v>111</v>
      </c>
      <c r="L76" s="15" t="s">
        <v>111</v>
      </c>
      <c r="M76" s="15"/>
      <c r="N76" s="15"/>
      <c r="O76" s="15"/>
      <c r="P76" s="15" t="s">
        <v>105</v>
      </c>
      <c r="Q76" s="15">
        <f t="shared" ref="Q76" si="92">COUNTIF(C76:N76,"Cortex")</f>
        <v>3</v>
      </c>
      <c r="S76" s="217"/>
      <c r="T76" s="217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23"/>
    </row>
    <row r="77" spans="1:37" ht="15.75" customHeight="1" x14ac:dyDescent="0.3">
      <c r="A77" s="217"/>
      <c r="B77" s="2" t="s">
        <v>99</v>
      </c>
      <c r="C77" s="15">
        <v>11.135</v>
      </c>
      <c r="D77" s="15">
        <v>18.509</v>
      </c>
      <c r="E77" s="15">
        <v>21.059000000000001</v>
      </c>
      <c r="F77" s="15">
        <v>22.513999999999999</v>
      </c>
      <c r="G77" s="15">
        <v>24.614999999999998</v>
      </c>
      <c r="H77" s="15">
        <v>26.016999999999999</v>
      </c>
      <c r="I77" s="15">
        <v>26.789000000000001</v>
      </c>
      <c r="J77" s="15">
        <v>27.137</v>
      </c>
      <c r="K77" s="15">
        <v>26.53</v>
      </c>
      <c r="L77" s="15">
        <v>25.507999999999999</v>
      </c>
      <c r="M77" s="15"/>
      <c r="N77" s="15"/>
      <c r="O77" s="15"/>
      <c r="P77" s="15" t="s">
        <v>106</v>
      </c>
      <c r="Q77" s="15">
        <f t="shared" ref="Q77" si="93">Q75-Q76</f>
        <v>6</v>
      </c>
      <c r="S77" s="217"/>
      <c r="T77" s="217"/>
      <c r="U77" s="8" t="s">
        <v>99</v>
      </c>
      <c r="V77" s="15">
        <f t="shared" ref="V77:AH77" si="94">C77*C82</f>
        <v>5.5674999999999999</v>
      </c>
      <c r="W77" s="15">
        <f t="shared" si="94"/>
        <v>6.2930599999999997</v>
      </c>
      <c r="X77" s="15">
        <f t="shared" si="94"/>
        <v>10.529500000000001</v>
      </c>
      <c r="Y77" s="15">
        <f t="shared" si="94"/>
        <v>11.707280000000001</v>
      </c>
      <c r="Z77" s="15">
        <f t="shared" si="94"/>
        <v>11.322900000000001</v>
      </c>
      <c r="AA77" s="15">
        <f t="shared" si="94"/>
        <v>14.04918</v>
      </c>
      <c r="AB77" s="15">
        <f t="shared" si="94"/>
        <v>13.394500000000001</v>
      </c>
      <c r="AC77" s="15">
        <f t="shared" si="94"/>
        <v>12.483020000000002</v>
      </c>
      <c r="AD77" s="15">
        <f t="shared" si="94"/>
        <v>13.265000000000001</v>
      </c>
      <c r="AE77" s="15">
        <f t="shared" si="94"/>
        <v>12.754</v>
      </c>
      <c r="AF77" s="15">
        <f t="shared" si="94"/>
        <v>0</v>
      </c>
      <c r="AG77" s="15">
        <f t="shared" si="94"/>
        <v>0</v>
      </c>
      <c r="AH77" s="15">
        <f t="shared" si="94"/>
        <v>0</v>
      </c>
      <c r="AI77" s="15">
        <f t="shared" ref="AI77" si="95">R77*R82</f>
        <v>0</v>
      </c>
      <c r="AJ77" s="23">
        <f>SUM(V77:AI77)</f>
        <v>111.36594000000001</v>
      </c>
      <c r="AK77" s="2">
        <v>111.36594000000001</v>
      </c>
    </row>
    <row r="78" spans="1:37" ht="15.75" customHeight="1" x14ac:dyDescent="0.3">
      <c r="A78" s="217"/>
      <c r="B78" s="2" t="s">
        <v>100</v>
      </c>
      <c r="C78" s="15">
        <v>11.452</v>
      </c>
      <c r="D78" s="15">
        <v>18.734000000000002</v>
      </c>
      <c r="E78" s="15">
        <v>20.905000000000001</v>
      </c>
      <c r="F78" s="15">
        <v>21.992999999999999</v>
      </c>
      <c r="G78" s="15">
        <v>23.364999999999998</v>
      </c>
      <c r="H78" s="15">
        <v>24.678999999999998</v>
      </c>
      <c r="I78" s="15">
        <v>25.591999999999999</v>
      </c>
      <c r="J78" s="15">
        <v>26.466999999999999</v>
      </c>
      <c r="K78" s="15">
        <v>25.821999999999999</v>
      </c>
      <c r="L78" s="15">
        <v>25.312000000000001</v>
      </c>
      <c r="M78" s="15"/>
      <c r="N78" s="15"/>
      <c r="O78" s="15"/>
      <c r="P78" s="15" t="s">
        <v>113</v>
      </c>
      <c r="Q78" s="16">
        <f t="shared" ref="Q78" si="96">COUNTIF(C75:O75, "&gt;=0" )</f>
        <v>10</v>
      </c>
      <c r="S78" s="217"/>
      <c r="T78" s="217"/>
      <c r="U78" s="8" t="s">
        <v>100</v>
      </c>
      <c r="V78" s="15">
        <f t="shared" ref="V78:AH78" si="97">C78*C82</f>
        <v>5.726</v>
      </c>
      <c r="W78" s="15">
        <f t="shared" si="97"/>
        <v>6.3695599999999999</v>
      </c>
      <c r="X78" s="15">
        <f t="shared" si="97"/>
        <v>10.452500000000001</v>
      </c>
      <c r="Y78" s="15">
        <f t="shared" si="97"/>
        <v>11.436359999999999</v>
      </c>
      <c r="Z78" s="15">
        <f t="shared" si="97"/>
        <v>10.7479</v>
      </c>
      <c r="AA78" s="15">
        <f t="shared" si="97"/>
        <v>13.32666</v>
      </c>
      <c r="AB78" s="15">
        <f t="shared" si="97"/>
        <v>12.795999999999999</v>
      </c>
      <c r="AC78" s="15">
        <f t="shared" si="97"/>
        <v>12.17482</v>
      </c>
      <c r="AD78" s="15">
        <f t="shared" si="97"/>
        <v>12.911</v>
      </c>
      <c r="AE78" s="15">
        <f t="shared" si="97"/>
        <v>12.656000000000001</v>
      </c>
      <c r="AF78" s="15">
        <f t="shared" si="97"/>
        <v>0</v>
      </c>
      <c r="AG78" s="15">
        <f t="shared" si="97"/>
        <v>0</v>
      </c>
      <c r="AH78" s="15">
        <f t="shared" si="97"/>
        <v>0</v>
      </c>
      <c r="AI78" s="15">
        <f t="shared" ref="AI78" si="98">R78*R82</f>
        <v>0</v>
      </c>
      <c r="AJ78" s="23">
        <f>SUM(V78:AI78)</f>
        <v>108.59680000000002</v>
      </c>
      <c r="AK78" s="2">
        <v>108.59680000000002</v>
      </c>
    </row>
    <row r="79" spans="1:37" x14ac:dyDescent="0.3">
      <c r="A79" s="6"/>
      <c r="B79" s="2" t="s">
        <v>114</v>
      </c>
      <c r="C79" s="15">
        <v>11.452</v>
      </c>
      <c r="D79" s="15">
        <v>15.085000000000001</v>
      </c>
      <c r="E79" s="15">
        <v>17.474</v>
      </c>
      <c r="F79" s="15">
        <v>18.471</v>
      </c>
      <c r="G79" s="15">
        <v>19.747</v>
      </c>
      <c r="H79" s="15">
        <v>21.939</v>
      </c>
      <c r="I79" s="15">
        <v>23.099</v>
      </c>
      <c r="J79" s="15">
        <v>25.806999999999999</v>
      </c>
      <c r="K79" s="15">
        <v>25.643000000000001</v>
      </c>
      <c r="L79" s="15">
        <v>25.281000000000002</v>
      </c>
      <c r="M79" s="15"/>
      <c r="N79" s="15"/>
      <c r="O79" s="15"/>
      <c r="P79" s="15"/>
      <c r="Q79" s="15"/>
      <c r="S79" s="6"/>
      <c r="T79" s="6"/>
      <c r="U79" s="8" t="s">
        <v>101</v>
      </c>
      <c r="V79" s="15">
        <f t="shared" ref="V79:AH79" si="99">C79*C82</f>
        <v>5.726</v>
      </c>
      <c r="W79" s="15">
        <f t="shared" si="99"/>
        <v>5.1288999999999998</v>
      </c>
      <c r="X79" s="15">
        <f t="shared" si="99"/>
        <v>8.7370000000000001</v>
      </c>
      <c r="Y79" s="15">
        <f t="shared" si="99"/>
        <v>9.6049199999999999</v>
      </c>
      <c r="Z79" s="15">
        <f t="shared" si="99"/>
        <v>9.0836199999999998</v>
      </c>
      <c r="AA79" s="15">
        <f t="shared" si="99"/>
        <v>11.847060000000001</v>
      </c>
      <c r="AB79" s="15">
        <f t="shared" si="99"/>
        <v>11.5495</v>
      </c>
      <c r="AC79" s="15">
        <f t="shared" si="99"/>
        <v>11.871219999999999</v>
      </c>
      <c r="AD79" s="15">
        <f t="shared" si="99"/>
        <v>12.8215</v>
      </c>
      <c r="AE79" s="15">
        <f t="shared" si="99"/>
        <v>12.640500000000001</v>
      </c>
      <c r="AF79" s="15">
        <f t="shared" si="99"/>
        <v>0</v>
      </c>
      <c r="AG79" s="15">
        <f t="shared" si="99"/>
        <v>0</v>
      </c>
      <c r="AH79" s="15">
        <f t="shared" si="99"/>
        <v>0</v>
      </c>
      <c r="AI79" s="15">
        <f t="shared" ref="AI79" si="100">R79*R82</f>
        <v>0</v>
      </c>
      <c r="AJ79" s="23">
        <f>SUM(V79:AI79)</f>
        <v>99.010220000000004</v>
      </c>
      <c r="AK79" s="2">
        <v>99.010220000000004</v>
      </c>
    </row>
    <row r="80" spans="1:37" x14ac:dyDescent="0.3">
      <c r="A80" s="6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S80" s="6"/>
      <c r="T80" s="6"/>
      <c r="U80" s="24" t="s">
        <v>115</v>
      </c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19">
        <f>(AJ77-AJ78)/AJ77*100</f>
        <v>2.4865232583678574</v>
      </c>
      <c r="AK80" s="2">
        <v>2.4865232583678574</v>
      </c>
    </row>
    <row r="81" spans="1:37" x14ac:dyDescent="0.3">
      <c r="A81" s="6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S81" s="6"/>
      <c r="T81" s="6"/>
      <c r="U81" s="24" t="s">
        <v>103</v>
      </c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19">
        <f>AJ77-AJ79</f>
        <v>12.355720000000005</v>
      </c>
      <c r="AK81" s="2">
        <v>12.355720000000005</v>
      </c>
    </row>
    <row r="82" spans="1:37" ht="15.75" customHeight="1" thickBot="1" x14ac:dyDescent="0.35">
      <c r="A82" s="6"/>
      <c r="B82" s="2" t="s">
        <v>32</v>
      </c>
      <c r="C82" s="15">
        <v>0.5</v>
      </c>
      <c r="D82" s="15">
        <v>0.33999999999999997</v>
      </c>
      <c r="E82" s="15">
        <v>0.5</v>
      </c>
      <c r="F82" s="15">
        <v>0.52</v>
      </c>
      <c r="G82" s="15">
        <v>0.46</v>
      </c>
      <c r="H82" s="15">
        <v>0.54</v>
      </c>
      <c r="I82" s="15">
        <v>0.5</v>
      </c>
      <c r="J82" s="15">
        <v>0.46</v>
      </c>
      <c r="K82" s="15">
        <v>0.5</v>
      </c>
      <c r="L82" s="15">
        <v>0.5</v>
      </c>
      <c r="M82" s="15"/>
      <c r="N82" s="15"/>
      <c r="O82" s="15"/>
      <c r="P82" s="15"/>
      <c r="Q82" s="15"/>
      <c r="S82" s="6"/>
      <c r="T82" s="6"/>
      <c r="U82" s="8" t="s">
        <v>97</v>
      </c>
      <c r="V82" s="219"/>
      <c r="W82" s="219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20"/>
      <c r="AJ82" s="26"/>
    </row>
    <row r="83" spans="1:37" ht="15.75" customHeight="1" x14ac:dyDescent="0.3">
      <c r="A83" s="216" t="s">
        <v>133</v>
      </c>
      <c r="B83" s="13" t="s">
        <v>98</v>
      </c>
      <c r="C83" s="14">
        <v>0.16500000000000001</v>
      </c>
      <c r="D83" s="14">
        <v>2.0569999999999999</v>
      </c>
      <c r="E83" s="14">
        <v>3.4239999999999999</v>
      </c>
      <c r="F83" s="14">
        <v>3.742</v>
      </c>
      <c r="G83" s="14">
        <v>3.63</v>
      </c>
      <c r="H83" s="14">
        <v>3.79</v>
      </c>
      <c r="I83" s="14">
        <v>4.2830000000000004</v>
      </c>
      <c r="J83" s="14">
        <v>4.7169999999999996</v>
      </c>
      <c r="K83" s="14">
        <v>3.964</v>
      </c>
      <c r="L83" s="14">
        <v>3.1280000000000001</v>
      </c>
      <c r="M83" s="14">
        <v>0.55300000000000005</v>
      </c>
      <c r="N83" s="14"/>
      <c r="O83" s="14"/>
      <c r="P83" s="15" t="s">
        <v>109</v>
      </c>
      <c r="Q83" s="16">
        <f t="shared" ref="Q83" si="101">COUNTIF(C83:N83, "&gt;0" )</f>
        <v>11</v>
      </c>
      <c r="S83" s="216" t="s">
        <v>133</v>
      </c>
      <c r="T83" s="216" t="s">
        <v>2</v>
      </c>
      <c r="U83" s="17" t="s">
        <v>98</v>
      </c>
      <c r="V83" s="18">
        <f t="shared" ref="V83:AH83" si="102">C83*C90</f>
        <v>8.2500000000000004E-2</v>
      </c>
      <c r="W83" s="18">
        <f t="shared" si="102"/>
        <v>1.0285</v>
      </c>
      <c r="X83" s="18">
        <f t="shared" si="102"/>
        <v>1.712</v>
      </c>
      <c r="Y83" s="18">
        <f t="shared" si="102"/>
        <v>1.871</v>
      </c>
      <c r="Z83" s="18">
        <f t="shared" si="102"/>
        <v>1.8149999999999999</v>
      </c>
      <c r="AA83" s="18">
        <f t="shared" si="102"/>
        <v>1.895</v>
      </c>
      <c r="AB83" s="18">
        <f t="shared" si="102"/>
        <v>2.1415000000000002</v>
      </c>
      <c r="AC83" s="18">
        <f t="shared" si="102"/>
        <v>2.3584999999999998</v>
      </c>
      <c r="AD83" s="18">
        <f t="shared" si="102"/>
        <v>1.982</v>
      </c>
      <c r="AE83" s="18">
        <f t="shared" si="102"/>
        <v>1.5640000000000001</v>
      </c>
      <c r="AF83" s="18">
        <f t="shared" si="102"/>
        <v>0.27650000000000002</v>
      </c>
      <c r="AG83" s="18">
        <f t="shared" si="102"/>
        <v>0</v>
      </c>
      <c r="AH83" s="18">
        <f t="shared" si="102"/>
        <v>0</v>
      </c>
      <c r="AI83" s="18">
        <f t="shared" ref="AI83" si="103">R83*R90</f>
        <v>0</v>
      </c>
      <c r="AJ83" s="19">
        <f>SUM(V83:AI83)</f>
        <v>16.726499999999998</v>
      </c>
      <c r="AK83" s="2">
        <v>16.726499999999998</v>
      </c>
    </row>
    <row r="84" spans="1:37" ht="15.75" customHeight="1" x14ac:dyDescent="0.3">
      <c r="A84" s="217"/>
      <c r="B84" s="2" t="s">
        <v>110</v>
      </c>
      <c r="C84" s="15" t="s">
        <v>111</v>
      </c>
      <c r="D84" s="15" t="s">
        <v>111</v>
      </c>
      <c r="E84" s="15" t="s">
        <v>111</v>
      </c>
      <c r="F84" s="15" t="s">
        <v>112</v>
      </c>
      <c r="G84" s="15" t="s">
        <v>112</v>
      </c>
      <c r="H84" s="15" t="s">
        <v>112</v>
      </c>
      <c r="I84" s="15" t="s">
        <v>112</v>
      </c>
      <c r="J84" s="15" t="s">
        <v>112</v>
      </c>
      <c r="K84" s="15" t="s">
        <v>112</v>
      </c>
      <c r="L84" s="15" t="s">
        <v>112</v>
      </c>
      <c r="M84" s="15" t="s">
        <v>112</v>
      </c>
      <c r="N84" s="15"/>
      <c r="O84" s="15"/>
      <c r="P84" s="15" t="s">
        <v>105</v>
      </c>
      <c r="Q84" s="15">
        <f t="shared" ref="Q84" si="104">COUNTIF(C84:N84,"Cortex")</f>
        <v>3</v>
      </c>
      <c r="S84" s="217"/>
      <c r="T84" s="217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23"/>
    </row>
    <row r="85" spans="1:37" ht="15.75" customHeight="1" x14ac:dyDescent="0.3">
      <c r="A85" s="217"/>
      <c r="B85" s="2" t="s">
        <v>99</v>
      </c>
      <c r="C85" s="15">
        <v>9.2439999999999998</v>
      </c>
      <c r="D85" s="15">
        <v>10.928000000000001</v>
      </c>
      <c r="E85" s="15">
        <v>13.797000000000001</v>
      </c>
      <c r="F85" s="15">
        <v>16.437999999999999</v>
      </c>
      <c r="G85" s="15">
        <v>18.391999999999999</v>
      </c>
      <c r="H85" s="15">
        <v>19.901</v>
      </c>
      <c r="I85" s="15">
        <v>22.173999999999999</v>
      </c>
      <c r="J85" s="15">
        <v>23.598000000000003</v>
      </c>
      <c r="K85" s="15">
        <v>25.231999999999999</v>
      </c>
      <c r="L85" s="15">
        <v>25.663</v>
      </c>
      <c r="M85" s="15">
        <v>25.518000000000001</v>
      </c>
      <c r="N85" s="15"/>
      <c r="O85" s="15"/>
      <c r="P85" s="15" t="s">
        <v>106</v>
      </c>
      <c r="Q85" s="15">
        <f t="shared" ref="Q85" si="105">Q83-Q84</f>
        <v>8</v>
      </c>
      <c r="S85" s="217"/>
      <c r="T85" s="217"/>
      <c r="U85" s="8" t="s">
        <v>99</v>
      </c>
      <c r="V85" s="15">
        <f t="shared" ref="V85:AH85" si="106">C85*C90</f>
        <v>4.6219999999999999</v>
      </c>
      <c r="W85" s="15">
        <f t="shared" si="106"/>
        <v>5.4640000000000004</v>
      </c>
      <c r="X85" s="15">
        <f t="shared" si="106"/>
        <v>6.8985000000000003</v>
      </c>
      <c r="Y85" s="15">
        <f t="shared" si="106"/>
        <v>8.2189999999999994</v>
      </c>
      <c r="Z85" s="15">
        <f t="shared" si="106"/>
        <v>9.1959999999999997</v>
      </c>
      <c r="AA85" s="15">
        <f t="shared" si="106"/>
        <v>9.9504999999999999</v>
      </c>
      <c r="AB85" s="15">
        <f t="shared" si="106"/>
        <v>11.087</v>
      </c>
      <c r="AC85" s="15">
        <f t="shared" si="106"/>
        <v>11.799000000000001</v>
      </c>
      <c r="AD85" s="15">
        <f t="shared" si="106"/>
        <v>12.616</v>
      </c>
      <c r="AE85" s="15">
        <f t="shared" si="106"/>
        <v>12.8315</v>
      </c>
      <c r="AF85" s="15">
        <f t="shared" si="106"/>
        <v>12.759</v>
      </c>
      <c r="AG85" s="15">
        <f t="shared" si="106"/>
        <v>0</v>
      </c>
      <c r="AH85" s="15">
        <f t="shared" si="106"/>
        <v>0</v>
      </c>
      <c r="AI85" s="15">
        <f t="shared" ref="AI85" si="107">R85*R90</f>
        <v>0</v>
      </c>
      <c r="AJ85" s="23">
        <f>SUM(V85:AI85)</f>
        <v>105.44250000000001</v>
      </c>
      <c r="AK85" s="2">
        <v>105.44250000000001</v>
      </c>
    </row>
    <row r="86" spans="1:37" ht="15.75" customHeight="1" x14ac:dyDescent="0.3">
      <c r="A86" s="217"/>
      <c r="B86" s="2" t="s">
        <v>100</v>
      </c>
      <c r="C86" s="15">
        <v>7.5140000000000002</v>
      </c>
      <c r="D86" s="15">
        <v>10.266</v>
      </c>
      <c r="E86" s="15">
        <v>13.169</v>
      </c>
      <c r="F86" s="15">
        <v>15.199</v>
      </c>
      <c r="G86" s="15">
        <v>17.099</v>
      </c>
      <c r="H86" s="15">
        <v>19.065999999999999</v>
      </c>
      <c r="I86" s="15">
        <v>21.19</v>
      </c>
      <c r="J86" s="15">
        <v>22.556000000000001</v>
      </c>
      <c r="K86" s="15">
        <v>24.574000000000002</v>
      </c>
      <c r="L86" s="15">
        <v>25.533999999999999</v>
      </c>
      <c r="M86" s="15">
        <v>26.433</v>
      </c>
      <c r="N86" s="15"/>
      <c r="O86" s="15"/>
      <c r="P86" s="15" t="s">
        <v>113</v>
      </c>
      <c r="Q86" s="16">
        <f t="shared" ref="Q86" si="108">COUNTIF(C83:O83, "&gt;=0" )</f>
        <v>11</v>
      </c>
      <c r="S86" s="217"/>
      <c r="T86" s="217"/>
      <c r="U86" s="8" t="s">
        <v>100</v>
      </c>
      <c r="V86" s="15">
        <f t="shared" ref="V86:AH86" si="109">C86*C90</f>
        <v>3.7570000000000001</v>
      </c>
      <c r="W86" s="15">
        <f t="shared" si="109"/>
        <v>5.133</v>
      </c>
      <c r="X86" s="15">
        <f t="shared" si="109"/>
        <v>6.5845000000000002</v>
      </c>
      <c r="Y86" s="15">
        <f t="shared" si="109"/>
        <v>7.5994999999999999</v>
      </c>
      <c r="Z86" s="15">
        <f t="shared" si="109"/>
        <v>8.5495000000000001</v>
      </c>
      <c r="AA86" s="15">
        <f t="shared" si="109"/>
        <v>9.5329999999999995</v>
      </c>
      <c r="AB86" s="15">
        <f t="shared" si="109"/>
        <v>10.595000000000001</v>
      </c>
      <c r="AC86" s="15">
        <f t="shared" si="109"/>
        <v>11.278</v>
      </c>
      <c r="AD86" s="15">
        <f t="shared" si="109"/>
        <v>12.287000000000001</v>
      </c>
      <c r="AE86" s="15">
        <f t="shared" si="109"/>
        <v>12.766999999999999</v>
      </c>
      <c r="AF86" s="15">
        <f t="shared" si="109"/>
        <v>13.2165</v>
      </c>
      <c r="AG86" s="15">
        <f t="shared" si="109"/>
        <v>0</v>
      </c>
      <c r="AH86" s="15">
        <f t="shared" si="109"/>
        <v>0</v>
      </c>
      <c r="AI86" s="15">
        <f t="shared" ref="AI86" si="110">R86*R90</f>
        <v>0</v>
      </c>
      <c r="AJ86" s="23">
        <f>SUM(V86:AI86)</f>
        <v>101.3</v>
      </c>
      <c r="AK86" s="2">
        <v>101.3</v>
      </c>
    </row>
    <row r="87" spans="1:37" x14ac:dyDescent="0.3">
      <c r="A87" s="217"/>
      <c r="B87" s="2" t="s">
        <v>114</v>
      </c>
      <c r="C87" s="15">
        <v>7.3490000000000002</v>
      </c>
      <c r="D87" s="15">
        <v>8.2089999999999996</v>
      </c>
      <c r="E87" s="15">
        <v>9.745000000000001</v>
      </c>
      <c r="F87" s="15">
        <v>11.457000000000001</v>
      </c>
      <c r="G87" s="15">
        <v>13.469000000000001</v>
      </c>
      <c r="H87" s="15">
        <v>15.276</v>
      </c>
      <c r="I87" s="15">
        <v>16.907</v>
      </c>
      <c r="J87" s="15">
        <v>17.839000000000002</v>
      </c>
      <c r="K87" s="15">
        <v>20.610000000000003</v>
      </c>
      <c r="L87" s="15">
        <v>22.405999999999999</v>
      </c>
      <c r="M87" s="15">
        <v>25.88</v>
      </c>
      <c r="N87" s="15"/>
      <c r="O87" s="15"/>
      <c r="P87" s="15"/>
      <c r="Q87" s="15"/>
      <c r="S87" s="217"/>
      <c r="T87" s="6"/>
      <c r="U87" s="8" t="s">
        <v>101</v>
      </c>
      <c r="V87" s="15">
        <f t="shared" ref="V87:AH87" si="111">C87*C90</f>
        <v>3.6745000000000001</v>
      </c>
      <c r="W87" s="15">
        <f t="shared" si="111"/>
        <v>4.1044999999999998</v>
      </c>
      <c r="X87" s="15">
        <f t="shared" si="111"/>
        <v>4.8725000000000005</v>
      </c>
      <c r="Y87" s="15">
        <f t="shared" si="111"/>
        <v>5.7285000000000004</v>
      </c>
      <c r="Z87" s="15">
        <f t="shared" si="111"/>
        <v>6.7345000000000006</v>
      </c>
      <c r="AA87" s="15">
        <f t="shared" si="111"/>
        <v>7.6379999999999999</v>
      </c>
      <c r="AB87" s="15">
        <f t="shared" si="111"/>
        <v>8.4535</v>
      </c>
      <c r="AC87" s="15">
        <f t="shared" si="111"/>
        <v>8.9195000000000011</v>
      </c>
      <c r="AD87" s="15">
        <f t="shared" si="111"/>
        <v>10.305000000000001</v>
      </c>
      <c r="AE87" s="15">
        <f t="shared" si="111"/>
        <v>11.202999999999999</v>
      </c>
      <c r="AF87" s="15">
        <f t="shared" si="111"/>
        <v>12.94</v>
      </c>
      <c r="AG87" s="15">
        <f t="shared" si="111"/>
        <v>0</v>
      </c>
      <c r="AH87" s="15">
        <f t="shared" si="111"/>
        <v>0</v>
      </c>
      <c r="AI87" s="15">
        <f t="shared" ref="AI87" si="112">R87*R90</f>
        <v>0</v>
      </c>
      <c r="AJ87" s="23">
        <f>SUM(V87:AI87)</f>
        <v>84.573499999999996</v>
      </c>
      <c r="AK87" s="2">
        <v>84.573499999999996</v>
      </c>
    </row>
    <row r="88" spans="1:37" x14ac:dyDescent="0.3">
      <c r="A88" s="217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S88" s="217"/>
      <c r="T88" s="6"/>
      <c r="U88" s="24" t="s">
        <v>115</v>
      </c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19">
        <f>(AJ85-AJ86)/AJ85*100</f>
        <v>3.9286815088792588</v>
      </c>
      <c r="AK88" s="2">
        <v>3.9286815088792588</v>
      </c>
    </row>
    <row r="89" spans="1:37" x14ac:dyDescent="0.3">
      <c r="A89" s="217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S89" s="217"/>
      <c r="T89" s="6"/>
      <c r="U89" s="24" t="s">
        <v>103</v>
      </c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19">
        <f>AJ85-AJ87</f>
        <v>20.869000000000014</v>
      </c>
      <c r="AK89" s="2">
        <v>20.869000000000014</v>
      </c>
    </row>
    <row r="90" spans="1:37" ht="16.2" thickBot="1" x14ac:dyDescent="0.35">
      <c r="A90" s="218"/>
      <c r="B90" s="2" t="s">
        <v>32</v>
      </c>
      <c r="C90" s="15">
        <v>0.5</v>
      </c>
      <c r="D90" s="15">
        <v>0.5</v>
      </c>
      <c r="E90" s="15">
        <v>0.5</v>
      </c>
      <c r="F90" s="15">
        <v>0.5</v>
      </c>
      <c r="G90" s="15">
        <v>0.5</v>
      </c>
      <c r="H90" s="15">
        <v>0.5</v>
      </c>
      <c r="I90" s="15">
        <v>0.5</v>
      </c>
      <c r="J90" s="15">
        <v>0.5</v>
      </c>
      <c r="K90" s="15">
        <v>0.5</v>
      </c>
      <c r="L90" s="15">
        <v>0.5</v>
      </c>
      <c r="M90" s="15">
        <v>0.5</v>
      </c>
      <c r="N90" s="15"/>
      <c r="O90" s="15"/>
      <c r="P90" s="15"/>
      <c r="Q90" s="15"/>
      <c r="R90" s="16"/>
      <c r="S90" s="218"/>
      <c r="T90" s="6"/>
      <c r="U90" s="8" t="s">
        <v>97</v>
      </c>
      <c r="V90" s="221" t="s">
        <v>134</v>
      </c>
      <c r="W90" s="221"/>
      <c r="X90" s="221"/>
      <c r="Y90" s="221"/>
      <c r="Z90" s="221"/>
      <c r="AA90" s="221"/>
      <c r="AB90" s="221"/>
      <c r="AC90" s="221"/>
      <c r="AD90" s="221"/>
      <c r="AE90" s="221"/>
      <c r="AF90" s="221"/>
      <c r="AG90" s="221"/>
      <c r="AH90" s="221"/>
      <c r="AI90" s="222"/>
      <c r="AJ90" s="26"/>
    </row>
    <row r="91" spans="1:37" ht="15.75" customHeight="1" x14ac:dyDescent="0.3">
      <c r="A91" s="216" t="s">
        <v>135</v>
      </c>
      <c r="B91" s="13" t="s">
        <v>98</v>
      </c>
      <c r="C91" s="14">
        <v>0</v>
      </c>
      <c r="D91" s="14">
        <v>7.1999999999999995E-2</v>
      </c>
      <c r="E91" s="14">
        <v>1.1379999999999999</v>
      </c>
      <c r="F91" s="14">
        <v>2.1120000000000001</v>
      </c>
      <c r="G91" s="14">
        <v>2.5990000000000002</v>
      </c>
      <c r="H91" s="14">
        <v>2.4569999999999999</v>
      </c>
      <c r="I91" s="14">
        <v>1.6140000000000001</v>
      </c>
      <c r="J91" s="14">
        <v>1.956</v>
      </c>
      <c r="K91" s="14">
        <v>2.4079999999999999</v>
      </c>
      <c r="L91" s="14">
        <v>2.9460000000000002</v>
      </c>
      <c r="M91" s="14">
        <v>2.1720000000000002</v>
      </c>
      <c r="N91" s="14"/>
      <c r="O91" s="14"/>
      <c r="P91" s="15" t="s">
        <v>109</v>
      </c>
      <c r="Q91" s="16">
        <f t="shared" ref="Q91" si="113">COUNTIF(C91:N91, "&gt;0" )</f>
        <v>10</v>
      </c>
      <c r="S91" s="216" t="s">
        <v>135</v>
      </c>
      <c r="T91" s="216" t="s">
        <v>2</v>
      </c>
      <c r="U91" s="17" t="s">
        <v>98</v>
      </c>
      <c r="V91" s="18">
        <f t="shared" ref="V91:AH91" si="114">C91*C98</f>
        <v>0</v>
      </c>
      <c r="W91" s="18">
        <f t="shared" si="114"/>
        <v>3.4559999999999994E-2</v>
      </c>
      <c r="X91" s="18">
        <f t="shared" si="114"/>
        <v>0.56899999999999995</v>
      </c>
      <c r="Y91" s="18">
        <f t="shared" si="114"/>
        <v>1.056</v>
      </c>
      <c r="Z91" s="18">
        <f t="shared" si="114"/>
        <v>1.3514800000000002</v>
      </c>
      <c r="AA91" s="18">
        <f t="shared" si="114"/>
        <v>1.17936</v>
      </c>
      <c r="AB91" s="18">
        <f t="shared" si="114"/>
        <v>0.80700000000000005</v>
      </c>
      <c r="AC91" s="18">
        <f t="shared" si="114"/>
        <v>0.97799999999999998</v>
      </c>
      <c r="AD91" s="18">
        <f t="shared" si="114"/>
        <v>1.2521599999999999</v>
      </c>
      <c r="AE91" s="18">
        <f t="shared" si="114"/>
        <v>1.41408</v>
      </c>
      <c r="AF91" s="18">
        <f t="shared" si="114"/>
        <v>1.0860000000000001</v>
      </c>
      <c r="AG91" s="18">
        <f t="shared" si="114"/>
        <v>0</v>
      </c>
      <c r="AH91" s="18">
        <f t="shared" si="114"/>
        <v>0</v>
      </c>
      <c r="AI91" s="18">
        <f t="shared" ref="AI91" si="115">R91*R98</f>
        <v>0</v>
      </c>
      <c r="AJ91" s="19">
        <f>SUM(V91:AI91)</f>
        <v>9.727640000000001</v>
      </c>
      <c r="AK91" s="2">
        <v>9.727640000000001</v>
      </c>
    </row>
    <row r="92" spans="1:37" ht="15.75" customHeight="1" x14ac:dyDescent="0.3">
      <c r="A92" s="217"/>
      <c r="B92" s="2" t="s">
        <v>110</v>
      </c>
      <c r="C92" s="15"/>
      <c r="D92" s="15" t="s">
        <v>111</v>
      </c>
      <c r="E92" s="15" t="s">
        <v>111</v>
      </c>
      <c r="F92" s="15" t="s">
        <v>112</v>
      </c>
      <c r="G92" s="15" t="s">
        <v>136</v>
      </c>
      <c r="H92" s="15" t="s">
        <v>111</v>
      </c>
      <c r="I92" s="15" t="s">
        <v>111</v>
      </c>
      <c r="J92" s="15" t="s">
        <v>111</v>
      </c>
      <c r="K92" s="15" t="s">
        <v>111</v>
      </c>
      <c r="L92" s="15" t="s">
        <v>111</v>
      </c>
      <c r="M92" s="15" t="s">
        <v>111</v>
      </c>
      <c r="N92" s="15"/>
      <c r="O92" s="15"/>
      <c r="P92" s="15" t="s">
        <v>105</v>
      </c>
      <c r="Q92" s="15">
        <f t="shared" ref="Q92" si="116">COUNTIF(C92:N92,"Cortex")</f>
        <v>8</v>
      </c>
      <c r="S92" s="217"/>
      <c r="T92" s="217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23"/>
    </row>
    <row r="93" spans="1:37" ht="15.75" customHeight="1" x14ac:dyDescent="0.3">
      <c r="A93" s="217"/>
      <c r="B93" s="2" t="s">
        <v>99</v>
      </c>
      <c r="C93" s="15">
        <v>8.4410000000000007</v>
      </c>
      <c r="D93" s="15">
        <v>10.78</v>
      </c>
      <c r="E93" s="15">
        <v>13.743</v>
      </c>
      <c r="F93" s="15">
        <v>16.853000000000002</v>
      </c>
      <c r="G93" s="15">
        <v>18.407</v>
      </c>
      <c r="H93" s="15">
        <v>21.254000000000001</v>
      </c>
      <c r="I93" s="15">
        <v>21.774000000000001</v>
      </c>
      <c r="J93" s="15">
        <v>23.091999999999999</v>
      </c>
      <c r="K93" s="15">
        <v>24.318999999999999</v>
      </c>
      <c r="L93" s="15">
        <v>23.844999999999999</v>
      </c>
      <c r="M93" s="15">
        <v>24.651</v>
      </c>
      <c r="N93" s="15"/>
      <c r="O93" s="15"/>
      <c r="P93" s="15" t="s">
        <v>106</v>
      </c>
      <c r="Q93" s="15">
        <f t="shared" ref="Q93" si="117">Q91-Q92</f>
        <v>2</v>
      </c>
      <c r="S93" s="217"/>
      <c r="T93" s="217"/>
      <c r="U93" s="8" t="s">
        <v>99</v>
      </c>
      <c r="V93" s="15">
        <f t="shared" ref="V93:AH93" si="118">C93*C98</f>
        <v>4.2205000000000004</v>
      </c>
      <c r="W93" s="15">
        <f t="shared" si="118"/>
        <v>5.1743999999999994</v>
      </c>
      <c r="X93" s="15">
        <f t="shared" si="118"/>
        <v>6.8715000000000002</v>
      </c>
      <c r="Y93" s="15">
        <f t="shared" si="118"/>
        <v>8.4265000000000008</v>
      </c>
      <c r="Z93" s="15">
        <f t="shared" si="118"/>
        <v>9.5716400000000004</v>
      </c>
      <c r="AA93" s="15">
        <f t="shared" si="118"/>
        <v>10.201919999999999</v>
      </c>
      <c r="AB93" s="15">
        <f t="shared" si="118"/>
        <v>10.887</v>
      </c>
      <c r="AC93" s="15">
        <f t="shared" si="118"/>
        <v>11.545999999999999</v>
      </c>
      <c r="AD93" s="15">
        <f t="shared" si="118"/>
        <v>12.64588</v>
      </c>
      <c r="AE93" s="15">
        <f t="shared" si="118"/>
        <v>11.445599999999999</v>
      </c>
      <c r="AF93" s="15">
        <f t="shared" si="118"/>
        <v>12.3255</v>
      </c>
      <c r="AG93" s="15">
        <f t="shared" si="118"/>
        <v>0</v>
      </c>
      <c r="AH93" s="15">
        <f t="shared" si="118"/>
        <v>0</v>
      </c>
      <c r="AI93" s="15">
        <f t="shared" ref="AI93" si="119">R93*R98</f>
        <v>0</v>
      </c>
      <c r="AJ93" s="23">
        <f>SUM(V93:AI93)</f>
        <v>103.31644000000001</v>
      </c>
      <c r="AK93" s="2">
        <v>103.31644000000001</v>
      </c>
    </row>
    <row r="94" spans="1:37" ht="15.75" customHeight="1" x14ac:dyDescent="0.3">
      <c r="A94" s="217"/>
      <c r="B94" s="2" t="s">
        <v>100</v>
      </c>
      <c r="C94" s="15">
        <v>7.48</v>
      </c>
      <c r="D94" s="15">
        <v>9.3030000000000008</v>
      </c>
      <c r="E94" s="15">
        <v>11.946999999999999</v>
      </c>
      <c r="F94" s="15">
        <v>14.756</v>
      </c>
      <c r="G94" s="15">
        <v>16.727</v>
      </c>
      <c r="H94" s="15">
        <v>19.263999999999999</v>
      </c>
      <c r="I94" s="15">
        <v>20.363</v>
      </c>
      <c r="J94" s="15">
        <v>21.36</v>
      </c>
      <c r="K94" s="15">
        <v>22.798999999999999</v>
      </c>
      <c r="L94" s="15">
        <v>23.648000000000003</v>
      </c>
      <c r="M94" s="15">
        <v>24.653000000000002</v>
      </c>
      <c r="N94" s="15"/>
      <c r="O94" s="15"/>
      <c r="P94" s="15" t="s">
        <v>113</v>
      </c>
      <c r="Q94" s="16">
        <f t="shared" ref="Q94" si="120">COUNTIF(C91:O91, "&gt;=0" )</f>
        <v>11</v>
      </c>
      <c r="S94" s="217"/>
      <c r="T94" s="217"/>
      <c r="U94" s="8" t="s">
        <v>100</v>
      </c>
      <c r="V94" s="15">
        <f t="shared" ref="V94:AH94" si="121">C94*C98</f>
        <v>3.74</v>
      </c>
      <c r="W94" s="15">
        <f t="shared" si="121"/>
        <v>4.4654400000000001</v>
      </c>
      <c r="X94" s="15">
        <f t="shared" si="121"/>
        <v>5.9734999999999996</v>
      </c>
      <c r="Y94" s="15">
        <f t="shared" si="121"/>
        <v>7.3780000000000001</v>
      </c>
      <c r="Z94" s="15">
        <f t="shared" si="121"/>
        <v>8.6980400000000007</v>
      </c>
      <c r="AA94" s="15">
        <f t="shared" si="121"/>
        <v>9.2467199999999998</v>
      </c>
      <c r="AB94" s="15">
        <f t="shared" si="121"/>
        <v>10.1815</v>
      </c>
      <c r="AC94" s="15">
        <f t="shared" si="121"/>
        <v>10.68</v>
      </c>
      <c r="AD94" s="15">
        <f t="shared" si="121"/>
        <v>11.85548</v>
      </c>
      <c r="AE94" s="15">
        <f t="shared" si="121"/>
        <v>11.351040000000001</v>
      </c>
      <c r="AF94" s="15">
        <f t="shared" si="121"/>
        <v>12.326500000000001</v>
      </c>
      <c r="AG94" s="15">
        <f t="shared" si="121"/>
        <v>0</v>
      </c>
      <c r="AH94" s="15">
        <f t="shared" si="121"/>
        <v>0</v>
      </c>
      <c r="AI94" s="15">
        <f t="shared" ref="AI94" si="122">R94*R98</f>
        <v>0</v>
      </c>
      <c r="AJ94" s="23">
        <f>SUM(V94:AI94)</f>
        <v>95.89622</v>
      </c>
      <c r="AK94" s="2">
        <v>95.89622</v>
      </c>
    </row>
    <row r="95" spans="1:37" x14ac:dyDescent="0.3">
      <c r="A95" s="217"/>
      <c r="B95" s="2" t="s">
        <v>114</v>
      </c>
      <c r="C95" s="15">
        <v>7.48</v>
      </c>
      <c r="D95" s="15">
        <v>9.2310000000000016</v>
      </c>
      <c r="E95" s="15">
        <v>10.808999999999999</v>
      </c>
      <c r="F95" s="15">
        <v>12.644</v>
      </c>
      <c r="G95" s="15">
        <v>14.128</v>
      </c>
      <c r="H95" s="15">
        <v>16.806999999999999</v>
      </c>
      <c r="I95" s="15">
        <v>18.748999999999999</v>
      </c>
      <c r="J95" s="15">
        <v>19.404</v>
      </c>
      <c r="K95" s="15">
        <v>20.390999999999998</v>
      </c>
      <c r="L95" s="15">
        <v>20.702000000000002</v>
      </c>
      <c r="M95" s="15">
        <v>22.481000000000002</v>
      </c>
      <c r="N95" s="15"/>
      <c r="O95" s="15"/>
      <c r="P95" s="15"/>
      <c r="Q95" s="15"/>
      <c r="S95" s="217"/>
      <c r="T95" s="6"/>
      <c r="U95" s="8" t="s">
        <v>101</v>
      </c>
      <c r="V95" s="15">
        <f t="shared" ref="V95:AH95" si="123">C95*C98</f>
        <v>3.74</v>
      </c>
      <c r="W95" s="15">
        <f t="shared" si="123"/>
        <v>4.430880000000001</v>
      </c>
      <c r="X95" s="15">
        <f t="shared" si="123"/>
        <v>5.4044999999999996</v>
      </c>
      <c r="Y95" s="15">
        <f t="shared" si="123"/>
        <v>6.3220000000000001</v>
      </c>
      <c r="Z95" s="15">
        <f t="shared" si="123"/>
        <v>7.3465600000000002</v>
      </c>
      <c r="AA95" s="15">
        <f t="shared" si="123"/>
        <v>8.067359999999999</v>
      </c>
      <c r="AB95" s="15">
        <f t="shared" si="123"/>
        <v>9.3744999999999994</v>
      </c>
      <c r="AC95" s="15">
        <f t="shared" si="123"/>
        <v>9.702</v>
      </c>
      <c r="AD95" s="15">
        <f t="shared" si="123"/>
        <v>10.60332</v>
      </c>
      <c r="AE95" s="15">
        <f t="shared" si="123"/>
        <v>9.9369600000000009</v>
      </c>
      <c r="AF95" s="15">
        <f t="shared" si="123"/>
        <v>11.240500000000001</v>
      </c>
      <c r="AG95" s="15">
        <f t="shared" si="123"/>
        <v>0</v>
      </c>
      <c r="AH95" s="15">
        <f t="shared" si="123"/>
        <v>0</v>
      </c>
      <c r="AI95" s="15">
        <f t="shared" ref="AI95" si="124">R95*R98</f>
        <v>0</v>
      </c>
      <c r="AJ95" s="23">
        <f>SUM(V95:AI95)</f>
        <v>86.168579999999992</v>
      </c>
      <c r="AK95" s="2">
        <v>86.168579999999992</v>
      </c>
    </row>
    <row r="96" spans="1:37" x14ac:dyDescent="0.3">
      <c r="A96" s="217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S96" s="217"/>
      <c r="T96" s="6"/>
      <c r="U96" s="24" t="s">
        <v>115</v>
      </c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19">
        <f>(AJ93-AJ94)/AJ93*100</f>
        <v>7.1820322109434027</v>
      </c>
      <c r="AK96" s="2">
        <v>7.1820322109434027</v>
      </c>
    </row>
    <row r="97" spans="1:37" x14ac:dyDescent="0.3">
      <c r="A97" s="217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S97" s="217"/>
      <c r="T97" s="6"/>
      <c r="U97" s="24" t="s">
        <v>103</v>
      </c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19">
        <f>AJ93-AJ95</f>
        <v>17.147860000000023</v>
      </c>
      <c r="AK97" s="2">
        <v>17.147860000000023</v>
      </c>
    </row>
    <row r="98" spans="1:37" ht="16.2" thickBot="1" x14ac:dyDescent="0.35">
      <c r="A98" s="218"/>
      <c r="B98" s="2" t="s">
        <v>32</v>
      </c>
      <c r="C98" s="15">
        <v>0.5</v>
      </c>
      <c r="D98" s="15">
        <v>0.48</v>
      </c>
      <c r="E98" s="15">
        <v>0.5</v>
      </c>
      <c r="F98" s="15">
        <v>0.5</v>
      </c>
      <c r="G98" s="15">
        <v>0.52</v>
      </c>
      <c r="H98" s="15">
        <v>0.48</v>
      </c>
      <c r="I98" s="15">
        <v>0.5</v>
      </c>
      <c r="J98" s="15">
        <v>0.5</v>
      </c>
      <c r="K98" s="15">
        <v>0.52</v>
      </c>
      <c r="L98" s="15">
        <v>0.48</v>
      </c>
      <c r="M98" s="15">
        <v>0.5</v>
      </c>
      <c r="N98" s="15"/>
      <c r="O98" s="15"/>
      <c r="P98" s="15"/>
      <c r="Q98" s="15"/>
      <c r="R98" s="16"/>
      <c r="S98" s="218"/>
      <c r="T98" s="6"/>
      <c r="U98" s="8" t="s">
        <v>97</v>
      </c>
      <c r="V98" s="221" t="s">
        <v>119</v>
      </c>
      <c r="W98" s="221"/>
      <c r="X98" s="221"/>
      <c r="Y98" s="221"/>
      <c r="Z98" s="221"/>
      <c r="AA98" s="221"/>
      <c r="AB98" s="221"/>
      <c r="AC98" s="221"/>
      <c r="AD98" s="221"/>
      <c r="AE98" s="221"/>
      <c r="AF98" s="221"/>
      <c r="AG98" s="221"/>
      <c r="AH98" s="221"/>
      <c r="AI98" s="222"/>
      <c r="AJ98" s="26"/>
    </row>
    <row r="99" spans="1:37" ht="15.75" customHeight="1" x14ac:dyDescent="0.3">
      <c r="A99" s="216" t="s">
        <v>137</v>
      </c>
      <c r="B99" s="13" t="s">
        <v>98</v>
      </c>
      <c r="C99" s="14">
        <v>7.0999999999999994E-2</v>
      </c>
      <c r="D99" s="14">
        <v>1.621</v>
      </c>
      <c r="E99" s="14">
        <v>3.7469999999999999</v>
      </c>
      <c r="F99" s="14">
        <v>3.98</v>
      </c>
      <c r="G99" s="14">
        <v>4.2320000000000002</v>
      </c>
      <c r="H99" s="14">
        <v>3.4950000000000001</v>
      </c>
      <c r="I99" s="14">
        <v>3.8679999999999999</v>
      </c>
      <c r="J99" s="14">
        <v>2.391</v>
      </c>
      <c r="K99" s="14">
        <v>0.81799999999999995</v>
      </c>
      <c r="L99" s="14">
        <v>0.124</v>
      </c>
      <c r="M99" s="14"/>
      <c r="N99" s="14"/>
      <c r="O99" s="14"/>
      <c r="P99" s="15" t="s">
        <v>109</v>
      </c>
      <c r="Q99" s="16">
        <f t="shared" ref="Q99" si="125">COUNTIF(C99:N99, "&gt;0" )</f>
        <v>10</v>
      </c>
      <c r="S99" s="216" t="s">
        <v>137</v>
      </c>
      <c r="T99" s="216" t="s">
        <v>2</v>
      </c>
      <c r="U99" s="17" t="s">
        <v>98</v>
      </c>
      <c r="V99" s="18">
        <f t="shared" ref="V99:AH99" si="126">C99*C106</f>
        <v>3.5499999999999997E-2</v>
      </c>
      <c r="W99" s="18">
        <f t="shared" si="126"/>
        <v>0.8105</v>
      </c>
      <c r="X99" s="18">
        <f t="shared" si="126"/>
        <v>1.8734999999999999</v>
      </c>
      <c r="Y99" s="18">
        <f t="shared" si="126"/>
        <v>2.0695999999999999</v>
      </c>
      <c r="Z99" s="18">
        <f t="shared" si="126"/>
        <v>2.2006400000000004</v>
      </c>
      <c r="AA99" s="18">
        <f t="shared" si="126"/>
        <v>1.6077000000000001</v>
      </c>
      <c r="AB99" s="18">
        <f t="shared" si="126"/>
        <v>1.9339999999999999</v>
      </c>
      <c r="AC99" s="18">
        <f t="shared" si="126"/>
        <v>1.4824200000000001</v>
      </c>
      <c r="AD99" s="18">
        <f t="shared" si="126"/>
        <v>0.31084000000000001</v>
      </c>
      <c r="AE99" s="18">
        <f t="shared" si="126"/>
        <v>6.2E-2</v>
      </c>
      <c r="AF99" s="18">
        <f t="shared" si="126"/>
        <v>0</v>
      </c>
      <c r="AG99" s="18">
        <f t="shared" si="126"/>
        <v>0</v>
      </c>
      <c r="AH99" s="18">
        <f t="shared" si="126"/>
        <v>0</v>
      </c>
      <c r="AI99" s="18">
        <f t="shared" ref="AI99" si="127">R99*R106</f>
        <v>0</v>
      </c>
      <c r="AJ99" s="19">
        <f>SUM(V99:AI99)</f>
        <v>12.386699999999998</v>
      </c>
      <c r="AK99" s="2">
        <v>12.386699999999998</v>
      </c>
    </row>
    <row r="100" spans="1:37" ht="15.75" customHeight="1" x14ac:dyDescent="0.3">
      <c r="A100" s="217"/>
      <c r="B100" s="2" t="s">
        <v>110</v>
      </c>
      <c r="C100" s="15" t="s">
        <v>111</v>
      </c>
      <c r="D100" s="15" t="s">
        <v>111</v>
      </c>
      <c r="E100" s="15" t="s">
        <v>112</v>
      </c>
      <c r="F100" s="15" t="s">
        <v>111</v>
      </c>
      <c r="G100" s="15" t="s">
        <v>112</v>
      </c>
      <c r="H100" s="15" t="s">
        <v>111</v>
      </c>
      <c r="I100" s="15" t="s">
        <v>112</v>
      </c>
      <c r="J100" s="15" t="s">
        <v>112</v>
      </c>
      <c r="K100" s="15" t="s">
        <v>111</v>
      </c>
      <c r="L100" s="15" t="s">
        <v>111</v>
      </c>
      <c r="M100" s="15"/>
      <c r="N100" s="15"/>
      <c r="O100" s="15"/>
      <c r="P100" s="15" t="s">
        <v>105</v>
      </c>
      <c r="Q100" s="15">
        <f t="shared" ref="Q100" si="128">COUNTIF(C100:N100,"Cortex")</f>
        <v>6</v>
      </c>
      <c r="S100" s="217"/>
      <c r="T100" s="217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23"/>
    </row>
    <row r="101" spans="1:37" ht="15.75" customHeight="1" x14ac:dyDescent="0.3">
      <c r="A101" s="217"/>
      <c r="B101" s="2" t="s">
        <v>99</v>
      </c>
      <c r="C101" s="15">
        <v>10.438000000000001</v>
      </c>
      <c r="D101" s="15">
        <v>13.371</v>
      </c>
      <c r="E101" s="15">
        <v>15.904</v>
      </c>
      <c r="F101" s="15">
        <v>17.459</v>
      </c>
      <c r="G101" s="15">
        <v>20.667000000000002</v>
      </c>
      <c r="H101" s="15">
        <v>22.129000000000001</v>
      </c>
      <c r="I101" s="15">
        <v>24.303000000000001</v>
      </c>
      <c r="J101" s="15">
        <v>25.016999999999999</v>
      </c>
      <c r="K101" s="15">
        <v>25.427999999999997</v>
      </c>
      <c r="L101" s="15">
        <v>24.899000000000001</v>
      </c>
      <c r="M101" s="15"/>
      <c r="N101" s="15"/>
      <c r="O101" s="15"/>
      <c r="P101" s="15" t="s">
        <v>106</v>
      </c>
      <c r="Q101" s="15">
        <f t="shared" ref="Q101" si="129">Q99-Q100</f>
        <v>4</v>
      </c>
      <c r="S101" s="217"/>
      <c r="T101" s="217"/>
      <c r="U101" s="8" t="s">
        <v>99</v>
      </c>
      <c r="V101" s="15">
        <f t="shared" ref="V101:AH101" si="130">C101*C106</f>
        <v>5.2190000000000003</v>
      </c>
      <c r="W101" s="15">
        <f t="shared" si="130"/>
        <v>6.6855000000000002</v>
      </c>
      <c r="X101" s="15">
        <f t="shared" si="130"/>
        <v>7.952</v>
      </c>
      <c r="Y101" s="15">
        <f t="shared" si="130"/>
        <v>9.0786800000000003</v>
      </c>
      <c r="Z101" s="15">
        <f t="shared" si="130"/>
        <v>10.746840000000001</v>
      </c>
      <c r="AA101" s="15">
        <f t="shared" si="130"/>
        <v>10.179340000000002</v>
      </c>
      <c r="AB101" s="15">
        <f t="shared" si="130"/>
        <v>12.1515</v>
      </c>
      <c r="AC101" s="15">
        <f t="shared" si="130"/>
        <v>15.510539999999999</v>
      </c>
      <c r="AD101" s="15">
        <f t="shared" si="130"/>
        <v>9.6626399999999997</v>
      </c>
      <c r="AE101" s="15">
        <f t="shared" si="130"/>
        <v>12.4495</v>
      </c>
      <c r="AF101" s="15">
        <f t="shared" si="130"/>
        <v>0</v>
      </c>
      <c r="AG101" s="15">
        <f t="shared" si="130"/>
        <v>0</v>
      </c>
      <c r="AH101" s="15">
        <f t="shared" si="130"/>
        <v>0</v>
      </c>
      <c r="AI101" s="15">
        <f t="shared" ref="AI101" si="131">R101*R106</f>
        <v>0</v>
      </c>
      <c r="AJ101" s="23">
        <f>SUM(V101:AI101)</f>
        <v>99.635540000000006</v>
      </c>
      <c r="AK101" s="2">
        <v>99.635540000000006</v>
      </c>
    </row>
    <row r="102" spans="1:37" ht="15.75" customHeight="1" x14ac:dyDescent="0.3">
      <c r="A102" s="217"/>
      <c r="B102" s="2" t="s">
        <v>100</v>
      </c>
      <c r="C102" s="15">
        <v>9.4260000000000002</v>
      </c>
      <c r="D102" s="15">
        <v>14.122999999999999</v>
      </c>
      <c r="E102" s="15">
        <v>17.446999999999999</v>
      </c>
      <c r="F102" s="15">
        <v>18.745999999999999</v>
      </c>
      <c r="G102" s="15">
        <v>22.295000000000002</v>
      </c>
      <c r="H102" s="15">
        <v>22.675000000000001</v>
      </c>
      <c r="I102" s="15">
        <v>24.814</v>
      </c>
      <c r="J102" s="15">
        <v>25.309000000000001</v>
      </c>
      <c r="K102" s="15">
        <v>24.589000000000002</v>
      </c>
      <c r="L102" s="15">
        <v>24.530999999999999</v>
      </c>
      <c r="M102" s="15"/>
      <c r="N102" s="15"/>
      <c r="O102" s="15"/>
      <c r="P102" s="15" t="s">
        <v>113</v>
      </c>
      <c r="Q102" s="16">
        <f t="shared" ref="Q102" si="132">COUNTIF(C99:O99, "&gt;=0" )</f>
        <v>10</v>
      </c>
      <c r="S102" s="217"/>
      <c r="T102" s="217"/>
      <c r="U102" s="8" t="s">
        <v>100</v>
      </c>
      <c r="V102" s="15">
        <f t="shared" ref="V102:AH102" si="133">C102*C106</f>
        <v>4.7130000000000001</v>
      </c>
      <c r="W102" s="15">
        <f t="shared" si="133"/>
        <v>7.0614999999999997</v>
      </c>
      <c r="X102" s="15">
        <f t="shared" si="133"/>
        <v>8.7234999999999996</v>
      </c>
      <c r="Y102" s="15">
        <f t="shared" si="133"/>
        <v>9.7479199999999988</v>
      </c>
      <c r="Z102" s="15">
        <f t="shared" si="133"/>
        <v>11.593400000000001</v>
      </c>
      <c r="AA102" s="15">
        <f t="shared" si="133"/>
        <v>10.4305</v>
      </c>
      <c r="AB102" s="15">
        <f t="shared" si="133"/>
        <v>12.407</v>
      </c>
      <c r="AC102" s="15">
        <f t="shared" si="133"/>
        <v>15.69158</v>
      </c>
      <c r="AD102" s="15">
        <f t="shared" si="133"/>
        <v>9.3438200000000009</v>
      </c>
      <c r="AE102" s="15">
        <f t="shared" si="133"/>
        <v>12.265499999999999</v>
      </c>
      <c r="AF102" s="15">
        <f t="shared" si="133"/>
        <v>0</v>
      </c>
      <c r="AG102" s="15">
        <f t="shared" si="133"/>
        <v>0</v>
      </c>
      <c r="AH102" s="15">
        <f t="shared" si="133"/>
        <v>0</v>
      </c>
      <c r="AI102" s="15">
        <f t="shared" ref="AI102" si="134">R102*R106</f>
        <v>0</v>
      </c>
      <c r="AJ102" s="23">
        <f>SUM(V102:AI102)</f>
        <v>101.97772000000001</v>
      </c>
      <c r="AK102" s="2">
        <v>101.97772000000001</v>
      </c>
    </row>
    <row r="103" spans="1:37" x14ac:dyDescent="0.3">
      <c r="A103" s="217"/>
      <c r="B103" s="2" t="s">
        <v>114</v>
      </c>
      <c r="C103" s="15">
        <v>9.3550000000000004</v>
      </c>
      <c r="D103" s="15">
        <v>12.501999999999999</v>
      </c>
      <c r="E103" s="15">
        <v>13.7</v>
      </c>
      <c r="F103" s="15">
        <v>14.765999999999998</v>
      </c>
      <c r="G103" s="15">
        <v>18.063000000000002</v>
      </c>
      <c r="H103" s="15">
        <v>19.18</v>
      </c>
      <c r="I103" s="15">
        <v>20.946000000000002</v>
      </c>
      <c r="J103" s="15">
        <v>22.917999999999999</v>
      </c>
      <c r="K103" s="15">
        <v>23.771000000000001</v>
      </c>
      <c r="L103" s="15">
        <v>24.407</v>
      </c>
      <c r="M103" s="15"/>
      <c r="N103" s="15"/>
      <c r="O103" s="15"/>
      <c r="P103" s="15"/>
      <c r="Q103" s="15"/>
      <c r="S103" s="217"/>
      <c r="T103" s="6"/>
      <c r="U103" s="8" t="s">
        <v>101</v>
      </c>
      <c r="V103" s="15">
        <f t="shared" ref="V103:AH103" si="135">C103*C106</f>
        <v>4.6775000000000002</v>
      </c>
      <c r="W103" s="15">
        <f t="shared" si="135"/>
        <v>6.2509999999999994</v>
      </c>
      <c r="X103" s="15">
        <f t="shared" si="135"/>
        <v>6.85</v>
      </c>
      <c r="Y103" s="15">
        <f t="shared" si="135"/>
        <v>7.6783199999999994</v>
      </c>
      <c r="Z103" s="15">
        <f t="shared" si="135"/>
        <v>9.3927600000000009</v>
      </c>
      <c r="AA103" s="15">
        <f t="shared" si="135"/>
        <v>8.8228000000000009</v>
      </c>
      <c r="AB103" s="15">
        <f t="shared" si="135"/>
        <v>10.473000000000001</v>
      </c>
      <c r="AC103" s="15">
        <f t="shared" si="135"/>
        <v>14.209159999999999</v>
      </c>
      <c r="AD103" s="15">
        <f t="shared" si="135"/>
        <v>9.0329800000000002</v>
      </c>
      <c r="AE103" s="15">
        <f t="shared" si="135"/>
        <v>12.2035</v>
      </c>
      <c r="AF103" s="15">
        <f t="shared" si="135"/>
        <v>0</v>
      </c>
      <c r="AG103" s="15">
        <f t="shared" si="135"/>
        <v>0</v>
      </c>
      <c r="AH103" s="15">
        <f t="shared" si="135"/>
        <v>0</v>
      </c>
      <c r="AI103" s="15">
        <f t="shared" ref="AI103" si="136">R103*R106</f>
        <v>0</v>
      </c>
      <c r="AJ103" s="23">
        <f>SUM(V103:AI103)</f>
        <v>89.59102</v>
      </c>
      <c r="AK103" s="2">
        <v>89.59102</v>
      </c>
    </row>
    <row r="104" spans="1:37" x14ac:dyDescent="0.3">
      <c r="A104" s="217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S104" s="217"/>
      <c r="T104" s="6"/>
      <c r="U104" s="24" t="s">
        <v>115</v>
      </c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19">
        <f>(AJ101-AJ102)/AJ101*100</f>
        <v>-2.3507475344641069</v>
      </c>
      <c r="AK104" s="2">
        <v>-2.3507475344641069</v>
      </c>
    </row>
    <row r="105" spans="1:37" x14ac:dyDescent="0.3">
      <c r="A105" s="217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S105" s="217"/>
      <c r="T105" s="6"/>
      <c r="U105" s="24" t="s">
        <v>103</v>
      </c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19">
        <f>AJ101-AJ103</f>
        <v>10.044520000000006</v>
      </c>
      <c r="AK105" s="2">
        <v>10.044520000000006</v>
      </c>
    </row>
    <row r="106" spans="1:37" ht="16.2" thickBot="1" x14ac:dyDescent="0.35">
      <c r="A106" s="218"/>
      <c r="B106" s="2" t="s">
        <v>32</v>
      </c>
      <c r="C106" s="15">
        <v>0.5</v>
      </c>
      <c r="D106" s="15">
        <v>0.5</v>
      </c>
      <c r="E106" s="15">
        <v>0.5</v>
      </c>
      <c r="F106" s="15">
        <v>0.52</v>
      </c>
      <c r="G106" s="15">
        <v>0.52</v>
      </c>
      <c r="H106" s="15">
        <v>0.46</v>
      </c>
      <c r="I106" s="15">
        <v>0.5</v>
      </c>
      <c r="J106" s="15">
        <v>0.62</v>
      </c>
      <c r="K106" s="15">
        <v>0.38</v>
      </c>
      <c r="L106" s="15">
        <v>0.5</v>
      </c>
      <c r="M106" s="15"/>
      <c r="N106" s="15"/>
      <c r="O106" s="15"/>
      <c r="P106" s="15"/>
      <c r="Q106" s="15"/>
      <c r="R106" s="16"/>
      <c r="S106" s="218"/>
      <c r="T106" s="6"/>
      <c r="U106" s="8" t="s">
        <v>97</v>
      </c>
      <c r="V106" s="221"/>
      <c r="W106" s="221"/>
      <c r="X106" s="221"/>
      <c r="Y106" s="221"/>
      <c r="Z106" s="221"/>
      <c r="AA106" s="221"/>
      <c r="AB106" s="221"/>
      <c r="AC106" s="221"/>
      <c r="AD106" s="221"/>
      <c r="AE106" s="221"/>
      <c r="AF106" s="221"/>
      <c r="AG106" s="221"/>
      <c r="AH106" s="221"/>
      <c r="AI106" s="222"/>
      <c r="AJ106" s="26"/>
    </row>
    <row r="107" spans="1:37" ht="15.75" customHeight="1" x14ac:dyDescent="0.3">
      <c r="A107" s="216" t="s">
        <v>138</v>
      </c>
      <c r="B107" s="13" t="s">
        <v>98</v>
      </c>
      <c r="C107" s="14">
        <v>0</v>
      </c>
      <c r="D107" s="14">
        <v>0.13800000000000001</v>
      </c>
      <c r="E107" s="14">
        <v>2.2090000000000001</v>
      </c>
      <c r="F107" s="14">
        <v>2.7250000000000001</v>
      </c>
      <c r="G107" s="14">
        <v>2.72</v>
      </c>
      <c r="H107" s="14">
        <v>2.0100000000000002</v>
      </c>
      <c r="I107" s="14">
        <v>2.2000000000000002</v>
      </c>
      <c r="J107" s="14">
        <v>2.2010000000000001</v>
      </c>
      <c r="K107" s="14">
        <v>1.8420000000000001</v>
      </c>
      <c r="L107" s="14">
        <v>1.5009999999999999</v>
      </c>
      <c r="M107" s="14"/>
      <c r="N107" s="14"/>
      <c r="O107" s="14"/>
      <c r="P107" s="15" t="s">
        <v>109</v>
      </c>
      <c r="Q107" s="16">
        <f t="shared" ref="Q107" si="137">COUNTIF(C107:N107, "&gt;0" )</f>
        <v>9</v>
      </c>
      <c r="S107" s="216" t="s">
        <v>138</v>
      </c>
      <c r="T107" s="216" t="s">
        <v>2</v>
      </c>
      <c r="U107" s="17" t="s">
        <v>98</v>
      </c>
      <c r="V107" s="18">
        <f t="shared" ref="V107:AH107" si="138">C107*C114</f>
        <v>0</v>
      </c>
      <c r="W107" s="18">
        <f t="shared" si="138"/>
        <v>7.1760000000000004E-2</v>
      </c>
      <c r="X107" s="18">
        <f t="shared" si="138"/>
        <v>1.28122</v>
      </c>
      <c r="Y107" s="18">
        <f t="shared" si="138"/>
        <v>1.2534999999999998</v>
      </c>
      <c r="Z107" s="18">
        <f t="shared" si="138"/>
        <v>1.1968000000000001</v>
      </c>
      <c r="AA107" s="18">
        <f t="shared" si="138"/>
        <v>1.2864000000000002</v>
      </c>
      <c r="AB107" s="18">
        <f t="shared" si="138"/>
        <v>0.83600000000000008</v>
      </c>
      <c r="AC107" s="18">
        <f t="shared" si="138"/>
        <v>1.1005</v>
      </c>
      <c r="AD107" s="18">
        <f t="shared" si="138"/>
        <v>0.99468000000000012</v>
      </c>
      <c r="AE107" s="18">
        <f t="shared" si="138"/>
        <v>0.7204799999999999</v>
      </c>
      <c r="AF107" s="18">
        <f t="shared" si="138"/>
        <v>0</v>
      </c>
      <c r="AG107" s="18">
        <f t="shared" si="138"/>
        <v>0</v>
      </c>
      <c r="AH107" s="18">
        <f t="shared" si="138"/>
        <v>0</v>
      </c>
      <c r="AI107" s="18">
        <f t="shared" ref="AI107" si="139">R107*R114</f>
        <v>0</v>
      </c>
      <c r="AJ107" s="19">
        <f>SUM(V107:AI107)</f>
        <v>8.741340000000001</v>
      </c>
      <c r="AK107" s="2">
        <v>8.741340000000001</v>
      </c>
    </row>
    <row r="108" spans="1:37" ht="15.75" customHeight="1" x14ac:dyDescent="0.3">
      <c r="A108" s="217"/>
      <c r="B108" s="2" t="s">
        <v>110</v>
      </c>
      <c r="C108" s="15"/>
      <c r="D108" s="15" t="s">
        <v>111</v>
      </c>
      <c r="E108" s="15" t="s">
        <v>111</v>
      </c>
      <c r="F108" s="15" t="s">
        <v>111</v>
      </c>
      <c r="G108" s="15" t="s">
        <v>112</v>
      </c>
      <c r="H108" s="15" t="s">
        <v>112</v>
      </c>
      <c r="I108" s="15" t="s">
        <v>112</v>
      </c>
      <c r="J108" s="15" t="s">
        <v>112</v>
      </c>
      <c r="K108" s="15" t="s">
        <v>112</v>
      </c>
      <c r="L108" s="15" t="s">
        <v>111</v>
      </c>
      <c r="M108" s="15"/>
      <c r="N108" s="15"/>
      <c r="O108" s="15"/>
      <c r="P108" s="15" t="s">
        <v>105</v>
      </c>
      <c r="Q108" s="15">
        <f t="shared" ref="Q108" si="140">COUNTIF(C108:N108,"Cortex")</f>
        <v>4</v>
      </c>
      <c r="S108" s="217"/>
      <c r="T108" s="217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23"/>
    </row>
    <row r="109" spans="1:37" ht="15.75" customHeight="1" x14ac:dyDescent="0.3">
      <c r="A109" s="217"/>
      <c r="B109" s="2" t="s">
        <v>99</v>
      </c>
      <c r="C109" s="15">
        <v>8.2119999999999997</v>
      </c>
      <c r="D109" s="15">
        <v>11.144</v>
      </c>
      <c r="E109" s="15">
        <v>13.726000000000001</v>
      </c>
      <c r="F109" s="15">
        <v>16.448</v>
      </c>
      <c r="G109" s="15">
        <v>18.507000000000001</v>
      </c>
      <c r="H109" s="15">
        <v>21.78</v>
      </c>
      <c r="I109" s="15">
        <v>23.27</v>
      </c>
      <c r="J109" s="15">
        <v>23.805</v>
      </c>
      <c r="K109" s="15">
        <v>25.495000000000001</v>
      </c>
      <c r="L109" s="15">
        <v>27.774999999999999</v>
      </c>
      <c r="M109" s="15"/>
      <c r="N109" s="15"/>
      <c r="O109" s="15"/>
      <c r="P109" s="15" t="s">
        <v>106</v>
      </c>
      <c r="Q109" s="15">
        <f t="shared" ref="Q109" si="141">Q107-Q108</f>
        <v>5</v>
      </c>
      <c r="S109" s="217"/>
      <c r="T109" s="217"/>
      <c r="U109" s="8" t="s">
        <v>99</v>
      </c>
      <c r="V109" s="15">
        <f t="shared" ref="V109:AH109" si="142">C109*C114</f>
        <v>4.1059999999999999</v>
      </c>
      <c r="W109" s="15">
        <f t="shared" si="142"/>
        <v>5.79488</v>
      </c>
      <c r="X109" s="15">
        <f t="shared" si="142"/>
        <v>7.9610799999999999</v>
      </c>
      <c r="Y109" s="15">
        <f t="shared" si="142"/>
        <v>7.5660799999999995</v>
      </c>
      <c r="Z109" s="15">
        <f t="shared" si="142"/>
        <v>8.1430800000000012</v>
      </c>
      <c r="AA109" s="15">
        <f t="shared" si="142"/>
        <v>13.939200000000001</v>
      </c>
      <c r="AB109" s="15">
        <f t="shared" si="142"/>
        <v>8.8425999999999991</v>
      </c>
      <c r="AC109" s="15">
        <f t="shared" si="142"/>
        <v>11.9025</v>
      </c>
      <c r="AD109" s="15">
        <f t="shared" si="142"/>
        <v>13.767300000000002</v>
      </c>
      <c r="AE109" s="15">
        <f t="shared" si="142"/>
        <v>13.331999999999999</v>
      </c>
      <c r="AF109" s="15">
        <f t="shared" si="142"/>
        <v>0</v>
      </c>
      <c r="AG109" s="15">
        <f t="shared" si="142"/>
        <v>0</v>
      </c>
      <c r="AH109" s="15">
        <f t="shared" si="142"/>
        <v>0</v>
      </c>
      <c r="AI109" s="15">
        <f t="shared" ref="AI109" si="143">R109*R114</f>
        <v>0</v>
      </c>
      <c r="AJ109" s="23">
        <f>SUM(V109:AI109)</f>
        <v>95.35472</v>
      </c>
      <c r="AK109" s="2">
        <v>95.35472</v>
      </c>
    </row>
    <row r="110" spans="1:37" ht="15.75" customHeight="1" x14ac:dyDescent="0.3">
      <c r="A110" s="217"/>
      <c r="B110" s="2" t="s">
        <v>100</v>
      </c>
      <c r="C110" s="15">
        <v>8.298</v>
      </c>
      <c r="D110" s="15">
        <v>11.734999999999999</v>
      </c>
      <c r="E110" s="15">
        <v>13.327999999999999</v>
      </c>
      <c r="F110" s="15">
        <v>15.314</v>
      </c>
      <c r="G110" s="15">
        <v>18.157</v>
      </c>
      <c r="H110" s="15">
        <v>23.154</v>
      </c>
      <c r="I110" s="15">
        <v>23.565000000000001</v>
      </c>
      <c r="J110" s="15">
        <v>24.044</v>
      </c>
      <c r="K110" s="15">
        <v>26.367999999999999</v>
      </c>
      <c r="L110" s="15">
        <v>25.783999999999999</v>
      </c>
      <c r="M110" s="15"/>
      <c r="N110" s="15"/>
      <c r="O110" s="15"/>
      <c r="P110" s="15" t="s">
        <v>113</v>
      </c>
      <c r="Q110" s="16">
        <f t="shared" ref="Q110" si="144">COUNTIF(C107:O107, "&gt;=0" )</f>
        <v>10</v>
      </c>
      <c r="S110" s="217"/>
      <c r="T110" s="217"/>
      <c r="U110" s="8" t="s">
        <v>100</v>
      </c>
      <c r="V110" s="15">
        <f t="shared" ref="V110:AH110" si="145">C110*C114</f>
        <v>4.149</v>
      </c>
      <c r="W110" s="15">
        <f t="shared" si="145"/>
        <v>6.1021999999999998</v>
      </c>
      <c r="X110" s="15">
        <f t="shared" si="145"/>
        <v>7.7302399999999993</v>
      </c>
      <c r="Y110" s="15">
        <f t="shared" si="145"/>
        <v>7.0444399999999998</v>
      </c>
      <c r="Z110" s="15">
        <f t="shared" si="145"/>
        <v>7.9890800000000004</v>
      </c>
      <c r="AA110" s="15">
        <f t="shared" si="145"/>
        <v>14.81856</v>
      </c>
      <c r="AB110" s="15">
        <f t="shared" si="145"/>
        <v>8.9547000000000008</v>
      </c>
      <c r="AC110" s="15">
        <f t="shared" si="145"/>
        <v>12.022</v>
      </c>
      <c r="AD110" s="15">
        <f t="shared" si="145"/>
        <v>14.238720000000001</v>
      </c>
      <c r="AE110" s="15">
        <f t="shared" si="145"/>
        <v>12.37632</v>
      </c>
      <c r="AF110" s="15">
        <f t="shared" si="145"/>
        <v>0</v>
      </c>
      <c r="AG110" s="15">
        <f t="shared" si="145"/>
        <v>0</v>
      </c>
      <c r="AH110" s="15">
        <f t="shared" si="145"/>
        <v>0</v>
      </c>
      <c r="AI110" s="15">
        <f t="shared" ref="AI110" si="146">R110*R114</f>
        <v>0</v>
      </c>
      <c r="AJ110" s="23">
        <f>SUM(V110:AI110)</f>
        <v>95.425260000000009</v>
      </c>
      <c r="AK110" s="2">
        <v>95.425260000000009</v>
      </c>
    </row>
    <row r="111" spans="1:37" x14ac:dyDescent="0.3">
      <c r="A111" s="217"/>
      <c r="B111" s="2" t="s">
        <v>114</v>
      </c>
      <c r="C111" s="15">
        <v>8.298</v>
      </c>
      <c r="D111" s="15">
        <v>11.597</v>
      </c>
      <c r="E111" s="15">
        <v>11.119</v>
      </c>
      <c r="F111" s="15">
        <v>12.589</v>
      </c>
      <c r="G111" s="15">
        <v>15.436999999999999</v>
      </c>
      <c r="H111" s="15">
        <v>21.143999999999998</v>
      </c>
      <c r="I111" s="15">
        <v>21.365000000000002</v>
      </c>
      <c r="J111" s="15">
        <v>21.843</v>
      </c>
      <c r="K111" s="15">
        <v>24.526</v>
      </c>
      <c r="L111" s="15">
        <v>24.282999999999998</v>
      </c>
      <c r="M111" s="15"/>
      <c r="N111" s="15"/>
      <c r="O111" s="15"/>
      <c r="P111" s="15"/>
      <c r="Q111" s="15"/>
      <c r="S111" s="217"/>
      <c r="T111" s="6"/>
      <c r="U111" s="8" t="s">
        <v>101</v>
      </c>
      <c r="V111" s="15">
        <f t="shared" ref="V111:AH111" si="147">C111*C114</f>
        <v>4.149</v>
      </c>
      <c r="W111" s="15">
        <f t="shared" si="147"/>
        <v>6.0304399999999996</v>
      </c>
      <c r="X111" s="15">
        <f t="shared" si="147"/>
        <v>6.4490199999999991</v>
      </c>
      <c r="Y111" s="15">
        <f t="shared" si="147"/>
        <v>5.79094</v>
      </c>
      <c r="Z111" s="15">
        <f t="shared" si="147"/>
        <v>6.7922799999999999</v>
      </c>
      <c r="AA111" s="15">
        <f t="shared" si="147"/>
        <v>13.532159999999999</v>
      </c>
      <c r="AB111" s="15">
        <f t="shared" si="147"/>
        <v>8.1187000000000005</v>
      </c>
      <c r="AC111" s="15">
        <f t="shared" si="147"/>
        <v>10.9215</v>
      </c>
      <c r="AD111" s="15">
        <f t="shared" si="147"/>
        <v>13.24404</v>
      </c>
      <c r="AE111" s="15">
        <f t="shared" si="147"/>
        <v>11.655839999999998</v>
      </c>
      <c r="AF111" s="15">
        <f t="shared" si="147"/>
        <v>0</v>
      </c>
      <c r="AG111" s="15">
        <f t="shared" si="147"/>
        <v>0</v>
      </c>
      <c r="AH111" s="15">
        <f t="shared" si="147"/>
        <v>0</v>
      </c>
      <c r="AI111" s="15">
        <f t="shared" ref="AI111" si="148">R111*R114</f>
        <v>0</v>
      </c>
      <c r="AJ111" s="23">
        <f>SUM(V111:AI111)</f>
        <v>86.683920000000001</v>
      </c>
      <c r="AK111" s="2">
        <v>86.683920000000001</v>
      </c>
    </row>
    <row r="112" spans="1:37" x14ac:dyDescent="0.3">
      <c r="A112" s="217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S112" s="217"/>
      <c r="T112" s="6"/>
      <c r="U112" s="24" t="s">
        <v>115</v>
      </c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19">
        <f>(AJ109-AJ110)/AJ109*100</f>
        <v>-7.3976411445608847E-2</v>
      </c>
      <c r="AK112" s="2">
        <v>-7.3976411445608847E-2</v>
      </c>
    </row>
    <row r="113" spans="1:37" x14ac:dyDescent="0.3">
      <c r="A113" s="217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S113" s="217"/>
      <c r="T113" s="6"/>
      <c r="U113" s="24" t="s">
        <v>103</v>
      </c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19">
        <f>AJ109-AJ111</f>
        <v>8.6707999999999998</v>
      </c>
      <c r="AK113" s="2">
        <v>8.6707999999999998</v>
      </c>
    </row>
    <row r="114" spans="1:37" ht="16.2" thickBot="1" x14ac:dyDescent="0.35">
      <c r="A114" s="218"/>
      <c r="B114" s="2" t="s">
        <v>32</v>
      </c>
      <c r="C114" s="15">
        <v>0.5</v>
      </c>
      <c r="D114" s="15">
        <v>0.52</v>
      </c>
      <c r="E114" s="15">
        <v>0.57999999999999996</v>
      </c>
      <c r="F114" s="15">
        <v>0.45999999999999996</v>
      </c>
      <c r="G114" s="15">
        <v>0.44</v>
      </c>
      <c r="H114" s="15">
        <v>0.64</v>
      </c>
      <c r="I114" s="15">
        <v>0.38</v>
      </c>
      <c r="J114" s="15">
        <v>0.5</v>
      </c>
      <c r="K114" s="15">
        <v>0.54</v>
      </c>
      <c r="L114" s="15">
        <v>0.48</v>
      </c>
      <c r="M114" s="15"/>
      <c r="N114" s="15"/>
      <c r="O114" s="15"/>
      <c r="P114" s="15"/>
      <c r="Q114" s="15"/>
      <c r="R114" s="16"/>
      <c r="S114" s="218"/>
      <c r="T114" s="6"/>
      <c r="U114" s="8" t="s">
        <v>97</v>
      </c>
      <c r="V114" s="219"/>
      <c r="W114" s="219"/>
      <c r="X114" s="219"/>
      <c r="Y114" s="219"/>
      <c r="Z114" s="219"/>
      <c r="AA114" s="219"/>
      <c r="AB114" s="219"/>
      <c r="AC114" s="219"/>
      <c r="AD114" s="219"/>
      <c r="AE114" s="219"/>
      <c r="AF114" s="219"/>
      <c r="AG114" s="219"/>
      <c r="AH114" s="219"/>
      <c r="AI114" s="220"/>
      <c r="AJ114" s="26"/>
    </row>
    <row r="115" spans="1:37" ht="15.75" customHeight="1" x14ac:dyDescent="0.3">
      <c r="A115" s="216" t="s">
        <v>139</v>
      </c>
      <c r="B115" s="13" t="s">
        <v>98</v>
      </c>
      <c r="C115" s="14">
        <v>0.73799999999999999</v>
      </c>
      <c r="D115" s="14">
        <v>1.325</v>
      </c>
      <c r="E115" s="14">
        <v>3.161</v>
      </c>
      <c r="F115" s="14">
        <v>4.274</v>
      </c>
      <c r="G115" s="14">
        <v>4.859</v>
      </c>
      <c r="H115" s="14">
        <v>4.5910000000000002</v>
      </c>
      <c r="I115" s="14">
        <v>3.9060000000000001</v>
      </c>
      <c r="J115" s="14">
        <v>3.2949999999999999</v>
      </c>
      <c r="K115" s="14">
        <v>3.6680000000000001</v>
      </c>
      <c r="L115" s="14">
        <v>3.7690000000000001</v>
      </c>
      <c r="M115" s="14">
        <v>3.4289999999999998</v>
      </c>
      <c r="N115" s="14">
        <v>2.2970000000000002</v>
      </c>
      <c r="O115" s="14"/>
      <c r="P115" s="15" t="s">
        <v>109</v>
      </c>
      <c r="Q115" s="16">
        <f t="shared" ref="Q115" si="149">COUNTIF(C115:N115, "&gt;0" )</f>
        <v>12</v>
      </c>
      <c r="S115" s="216" t="s">
        <v>139</v>
      </c>
      <c r="T115" s="216" t="s">
        <v>2</v>
      </c>
      <c r="U115" s="17" t="s">
        <v>98</v>
      </c>
      <c r="V115" s="18">
        <f t="shared" ref="V115:AH115" si="150">C115*C122</f>
        <v>0.36899999999999999</v>
      </c>
      <c r="W115" s="18">
        <f t="shared" si="150"/>
        <v>0.74199999999999999</v>
      </c>
      <c r="X115" s="18">
        <f t="shared" si="150"/>
        <v>1.3908400000000001</v>
      </c>
      <c r="Y115" s="18">
        <f t="shared" si="150"/>
        <v>2.137</v>
      </c>
      <c r="Z115" s="18">
        <f t="shared" si="150"/>
        <v>2.5266800000000003</v>
      </c>
      <c r="AA115" s="18">
        <f t="shared" si="150"/>
        <v>2.2036799999999999</v>
      </c>
      <c r="AB115" s="18">
        <f t="shared" si="150"/>
        <v>2.03112</v>
      </c>
      <c r="AC115" s="18">
        <f t="shared" si="150"/>
        <v>1.5815999999999999</v>
      </c>
      <c r="AD115" s="18">
        <f t="shared" si="150"/>
        <v>1.9073600000000002</v>
      </c>
      <c r="AE115" s="18">
        <f t="shared" si="150"/>
        <v>1.8845000000000001</v>
      </c>
      <c r="AF115" s="18">
        <f t="shared" si="150"/>
        <v>1.6459199999999998</v>
      </c>
      <c r="AG115" s="18">
        <f t="shared" si="150"/>
        <v>1.1485000000000001</v>
      </c>
      <c r="AH115" s="18">
        <f t="shared" si="150"/>
        <v>0</v>
      </c>
      <c r="AI115" s="18">
        <f t="shared" ref="AI115" si="151">R115*R122</f>
        <v>0</v>
      </c>
      <c r="AJ115" s="19">
        <f>SUM(V115:AI115)</f>
        <v>19.568200000000001</v>
      </c>
      <c r="AK115" s="2">
        <v>19.568200000000001</v>
      </c>
    </row>
    <row r="116" spans="1:37" ht="15.75" customHeight="1" x14ac:dyDescent="0.3">
      <c r="A116" s="217"/>
      <c r="B116" s="2" t="s">
        <v>110</v>
      </c>
      <c r="C116" s="15" t="s">
        <v>111</v>
      </c>
      <c r="D116" s="15" t="s">
        <v>111</v>
      </c>
      <c r="E116" s="15" t="s">
        <v>111</v>
      </c>
      <c r="F116" s="15" t="s">
        <v>140</v>
      </c>
      <c r="G116" s="15" t="s">
        <v>140</v>
      </c>
      <c r="H116" s="15" t="s">
        <v>140</v>
      </c>
      <c r="I116" s="15" t="s">
        <v>140</v>
      </c>
      <c r="J116" s="15" t="s">
        <v>112</v>
      </c>
      <c r="K116" s="15" t="s">
        <v>112</v>
      </c>
      <c r="L116" s="15" t="s">
        <v>111</v>
      </c>
      <c r="M116" s="15" t="s">
        <v>111</v>
      </c>
      <c r="N116" s="15" t="s">
        <v>111</v>
      </c>
      <c r="O116" s="15"/>
      <c r="P116" s="15" t="s">
        <v>105</v>
      </c>
      <c r="Q116" s="15">
        <f t="shared" ref="Q116" si="152">COUNTIF(C116:N116,"Cortex")</f>
        <v>6</v>
      </c>
      <c r="S116" s="217"/>
      <c r="T116" s="217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23"/>
    </row>
    <row r="117" spans="1:37" ht="15.75" customHeight="1" x14ac:dyDescent="0.3">
      <c r="A117" s="217"/>
      <c r="B117" s="2" t="s">
        <v>99</v>
      </c>
      <c r="C117" s="15">
        <v>9.3349999999999991</v>
      </c>
      <c r="D117" s="15">
        <v>12.912000000000001</v>
      </c>
      <c r="E117" s="15">
        <v>16.608000000000001</v>
      </c>
      <c r="F117" s="15">
        <v>18.794</v>
      </c>
      <c r="G117" s="15">
        <v>20.408999999999999</v>
      </c>
      <c r="H117" s="15">
        <v>22.782</v>
      </c>
      <c r="I117" s="15">
        <v>23.905000000000001</v>
      </c>
      <c r="J117" s="15">
        <v>24.635999999999999</v>
      </c>
      <c r="K117" s="15">
        <v>25.521000000000001</v>
      </c>
      <c r="L117" s="15">
        <v>24.611999999999998</v>
      </c>
      <c r="M117" s="15">
        <v>26.576000000000001</v>
      </c>
      <c r="N117" s="15">
        <v>23.181999999999999</v>
      </c>
      <c r="O117" s="15"/>
      <c r="P117" s="15" t="s">
        <v>106</v>
      </c>
      <c r="Q117" s="15">
        <f t="shared" ref="Q117" si="153">Q115-Q116</f>
        <v>6</v>
      </c>
      <c r="S117" s="217"/>
      <c r="T117" s="217"/>
      <c r="U117" s="8" t="s">
        <v>99</v>
      </c>
      <c r="V117" s="15">
        <f t="shared" ref="V117:AH117" si="154">C117*C122</f>
        <v>4.6674999999999995</v>
      </c>
      <c r="W117" s="15">
        <f t="shared" si="154"/>
        <v>7.2307200000000007</v>
      </c>
      <c r="X117" s="15">
        <f t="shared" si="154"/>
        <v>7.3075200000000002</v>
      </c>
      <c r="Y117" s="15">
        <f t="shared" si="154"/>
        <v>9.3970000000000002</v>
      </c>
      <c r="Z117" s="15">
        <f t="shared" si="154"/>
        <v>10.612679999999999</v>
      </c>
      <c r="AA117" s="15">
        <f t="shared" si="154"/>
        <v>10.935359999999999</v>
      </c>
      <c r="AB117" s="15">
        <f t="shared" si="154"/>
        <v>12.430600000000002</v>
      </c>
      <c r="AC117" s="15">
        <f t="shared" si="154"/>
        <v>11.825279999999999</v>
      </c>
      <c r="AD117" s="15">
        <f t="shared" si="154"/>
        <v>13.27092</v>
      </c>
      <c r="AE117" s="15">
        <f t="shared" si="154"/>
        <v>12.305999999999999</v>
      </c>
      <c r="AF117" s="15">
        <f t="shared" si="154"/>
        <v>12.75648</v>
      </c>
      <c r="AG117" s="15">
        <f t="shared" si="154"/>
        <v>11.590999999999999</v>
      </c>
      <c r="AH117" s="15">
        <f t="shared" si="154"/>
        <v>0</v>
      </c>
      <c r="AI117" s="15">
        <f t="shared" ref="AI117" si="155">R117*R122</f>
        <v>0</v>
      </c>
      <c r="AJ117" s="23">
        <f>SUM(V117:AI117)</f>
        <v>124.33105999999998</v>
      </c>
      <c r="AK117" s="2">
        <v>124.33105999999998</v>
      </c>
    </row>
    <row r="118" spans="1:37" ht="15.75" customHeight="1" x14ac:dyDescent="0.3">
      <c r="A118" s="217"/>
      <c r="B118" s="2" t="s">
        <v>100</v>
      </c>
      <c r="C118" s="15">
        <v>8.7319999999999993</v>
      </c>
      <c r="D118" s="15">
        <v>12.584</v>
      </c>
      <c r="E118" s="15">
        <v>16.7</v>
      </c>
      <c r="F118" s="15">
        <v>19.071999999999999</v>
      </c>
      <c r="G118" s="15">
        <v>21.652000000000001</v>
      </c>
      <c r="H118" s="15">
        <v>22.850999999999999</v>
      </c>
      <c r="I118" s="15">
        <v>23.922999999999998</v>
      </c>
      <c r="J118" s="15">
        <v>24.998000000000001</v>
      </c>
      <c r="K118" s="15">
        <v>26.42</v>
      </c>
      <c r="L118" s="15">
        <v>26.547000000000001</v>
      </c>
      <c r="M118" s="15">
        <v>25.916</v>
      </c>
      <c r="N118" s="15">
        <v>25.323</v>
      </c>
      <c r="O118" s="15"/>
      <c r="P118" s="15" t="s">
        <v>113</v>
      </c>
      <c r="Q118" s="16">
        <f t="shared" ref="Q118" si="156">COUNTIF(C115:O115, "&gt;=0" )</f>
        <v>12</v>
      </c>
      <c r="S118" s="217"/>
      <c r="T118" s="217"/>
      <c r="U118" s="8" t="s">
        <v>100</v>
      </c>
      <c r="V118" s="15">
        <f t="shared" ref="V118:AH118" si="157">C118*C122</f>
        <v>4.3659999999999997</v>
      </c>
      <c r="W118" s="15">
        <f t="shared" si="157"/>
        <v>7.0470400000000009</v>
      </c>
      <c r="X118" s="15">
        <f t="shared" si="157"/>
        <v>7.3479999999999999</v>
      </c>
      <c r="Y118" s="15">
        <f t="shared" si="157"/>
        <v>9.5359999999999996</v>
      </c>
      <c r="Z118" s="15">
        <f t="shared" si="157"/>
        <v>11.259040000000001</v>
      </c>
      <c r="AA118" s="15">
        <f t="shared" si="157"/>
        <v>10.96848</v>
      </c>
      <c r="AB118" s="15">
        <f t="shared" si="157"/>
        <v>12.439959999999999</v>
      </c>
      <c r="AC118" s="15">
        <f t="shared" si="157"/>
        <v>11.999040000000001</v>
      </c>
      <c r="AD118" s="15">
        <f t="shared" si="157"/>
        <v>13.738400000000002</v>
      </c>
      <c r="AE118" s="15">
        <f t="shared" si="157"/>
        <v>13.2735</v>
      </c>
      <c r="AF118" s="15">
        <f t="shared" si="157"/>
        <v>12.439679999999999</v>
      </c>
      <c r="AG118" s="15">
        <f t="shared" si="157"/>
        <v>12.6615</v>
      </c>
      <c r="AH118" s="15">
        <f t="shared" si="157"/>
        <v>0</v>
      </c>
      <c r="AI118" s="15">
        <f t="shared" ref="AI118" si="158">R118*R122</f>
        <v>0</v>
      </c>
      <c r="AJ118" s="23">
        <f>SUM(V118:AI118)</f>
        <v>127.07664</v>
      </c>
      <c r="AK118" s="2">
        <v>127.07664</v>
      </c>
    </row>
    <row r="119" spans="1:37" x14ac:dyDescent="0.3">
      <c r="A119" s="6"/>
      <c r="B119" s="2" t="s">
        <v>114</v>
      </c>
      <c r="C119" s="15">
        <v>7.9939999999999998</v>
      </c>
      <c r="D119" s="15">
        <v>11.259</v>
      </c>
      <c r="E119" s="15">
        <v>13.539</v>
      </c>
      <c r="F119" s="15">
        <v>14.797999999999998</v>
      </c>
      <c r="G119" s="15">
        <v>16.792999999999999</v>
      </c>
      <c r="H119" s="15">
        <v>18.259999999999998</v>
      </c>
      <c r="I119" s="15">
        <v>20.016999999999999</v>
      </c>
      <c r="J119" s="15">
        <v>21.703000000000003</v>
      </c>
      <c r="K119" s="15">
        <v>22.752000000000002</v>
      </c>
      <c r="L119" s="15">
        <v>22.777999999999999</v>
      </c>
      <c r="M119" s="15">
        <v>22.487000000000002</v>
      </c>
      <c r="N119" s="15">
        <v>23.026</v>
      </c>
      <c r="O119" s="15"/>
      <c r="P119" s="15"/>
      <c r="Q119" s="15"/>
      <c r="S119" s="6"/>
      <c r="T119" s="6"/>
      <c r="U119" s="8" t="s">
        <v>101</v>
      </c>
      <c r="V119" s="15">
        <f t="shared" ref="V119:AH119" si="159">C119*C122</f>
        <v>3.9969999999999999</v>
      </c>
      <c r="W119" s="15">
        <f t="shared" si="159"/>
        <v>6.3050400000000009</v>
      </c>
      <c r="X119" s="15">
        <f t="shared" si="159"/>
        <v>5.95716</v>
      </c>
      <c r="Y119" s="15">
        <f t="shared" si="159"/>
        <v>7.3989999999999991</v>
      </c>
      <c r="Z119" s="15">
        <f t="shared" si="159"/>
        <v>8.7323599999999999</v>
      </c>
      <c r="AA119" s="15">
        <f t="shared" si="159"/>
        <v>8.7647999999999993</v>
      </c>
      <c r="AB119" s="15">
        <f t="shared" si="159"/>
        <v>10.40884</v>
      </c>
      <c r="AC119" s="15">
        <f t="shared" si="159"/>
        <v>10.417440000000001</v>
      </c>
      <c r="AD119" s="15">
        <f t="shared" si="159"/>
        <v>11.831040000000002</v>
      </c>
      <c r="AE119" s="15">
        <f t="shared" si="159"/>
        <v>11.388999999999999</v>
      </c>
      <c r="AF119" s="15">
        <f t="shared" si="159"/>
        <v>10.793760000000001</v>
      </c>
      <c r="AG119" s="15">
        <f t="shared" si="159"/>
        <v>11.513</v>
      </c>
      <c r="AH119" s="15">
        <f t="shared" si="159"/>
        <v>0</v>
      </c>
      <c r="AI119" s="15">
        <f t="shared" ref="AI119" si="160">R119*R122</f>
        <v>0</v>
      </c>
      <c r="AJ119" s="23">
        <f>SUM(V119:AI119)</f>
        <v>107.50844000000001</v>
      </c>
      <c r="AK119" s="2">
        <v>107.50844000000001</v>
      </c>
    </row>
    <row r="120" spans="1:37" x14ac:dyDescent="0.3">
      <c r="A120" s="6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S120" s="6"/>
      <c r="T120" s="6"/>
      <c r="U120" s="24" t="s">
        <v>115</v>
      </c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19">
        <f>(AJ117-AJ118)/AJ117*100</f>
        <v>-2.2082816634878029</v>
      </c>
      <c r="AK120" s="2">
        <v>-2.2082816634878029</v>
      </c>
    </row>
    <row r="121" spans="1:37" x14ac:dyDescent="0.3">
      <c r="A121" s="6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S121" s="6"/>
      <c r="T121" s="6"/>
      <c r="U121" s="24" t="s">
        <v>103</v>
      </c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19">
        <f>AJ117-AJ119</f>
        <v>16.822619999999972</v>
      </c>
      <c r="AK121" s="2">
        <v>16.822619999999972</v>
      </c>
    </row>
    <row r="122" spans="1:37" ht="16.2" thickBot="1" x14ac:dyDescent="0.35">
      <c r="A122" s="6"/>
      <c r="B122" s="2" t="s">
        <v>32</v>
      </c>
      <c r="C122" s="15">
        <v>0.5</v>
      </c>
      <c r="D122" s="15">
        <v>0.56000000000000005</v>
      </c>
      <c r="E122" s="15">
        <v>0.44</v>
      </c>
      <c r="F122" s="15">
        <v>0.5</v>
      </c>
      <c r="G122" s="15">
        <v>0.52</v>
      </c>
      <c r="H122" s="15">
        <v>0.48</v>
      </c>
      <c r="I122" s="15">
        <v>0.52</v>
      </c>
      <c r="J122" s="15">
        <v>0.48</v>
      </c>
      <c r="K122" s="15">
        <v>0.52</v>
      </c>
      <c r="L122" s="15">
        <v>0.5</v>
      </c>
      <c r="M122" s="15">
        <v>0.48</v>
      </c>
      <c r="N122" s="15">
        <v>0.5</v>
      </c>
      <c r="O122" s="15"/>
      <c r="P122" s="15"/>
      <c r="Q122" s="15"/>
      <c r="R122" s="16"/>
      <c r="S122" s="6"/>
      <c r="T122" s="6"/>
      <c r="U122" s="8" t="s">
        <v>97</v>
      </c>
      <c r="V122" s="221" t="s">
        <v>141</v>
      </c>
      <c r="W122" s="221"/>
      <c r="X122" s="221"/>
      <c r="Y122" s="221"/>
      <c r="Z122" s="221"/>
      <c r="AA122" s="221"/>
      <c r="AB122" s="221"/>
      <c r="AC122" s="221"/>
      <c r="AD122" s="221"/>
      <c r="AE122" s="221"/>
      <c r="AF122" s="221"/>
      <c r="AG122" s="221"/>
      <c r="AH122" s="221"/>
      <c r="AI122" s="222"/>
      <c r="AJ122" s="26"/>
    </row>
    <row r="123" spans="1:37" ht="15.75" customHeight="1" x14ac:dyDescent="0.3">
      <c r="A123" s="216" t="s">
        <v>142</v>
      </c>
      <c r="B123" s="13" t="s">
        <v>98</v>
      </c>
      <c r="C123" s="14">
        <v>0.28499999999999998</v>
      </c>
      <c r="D123" s="14">
        <v>1.94</v>
      </c>
      <c r="E123" s="14">
        <v>3.5710000000000002</v>
      </c>
      <c r="F123" s="14">
        <v>3.9489999999999998</v>
      </c>
      <c r="G123" s="14">
        <v>4.6289999999999996</v>
      </c>
      <c r="H123" s="14">
        <v>4.4779999999999998</v>
      </c>
      <c r="I123" s="14">
        <v>4.6630000000000003</v>
      </c>
      <c r="J123" s="14">
        <v>3.2389999999999999</v>
      </c>
      <c r="K123" s="14">
        <v>2.3530000000000002</v>
      </c>
      <c r="L123" s="14">
        <v>2.7989999999999999</v>
      </c>
      <c r="M123" s="14">
        <v>0.65900000000000003</v>
      </c>
      <c r="N123" s="14">
        <v>0.26</v>
      </c>
      <c r="O123" s="14"/>
      <c r="P123" s="15" t="s">
        <v>109</v>
      </c>
      <c r="Q123" s="16">
        <f t="shared" ref="Q123" si="161">COUNTIF(C123:N123, "&gt;0" )</f>
        <v>12</v>
      </c>
      <c r="S123" s="216" t="s">
        <v>142</v>
      </c>
      <c r="T123" s="216" t="s">
        <v>2</v>
      </c>
      <c r="U123" s="17" t="s">
        <v>98</v>
      </c>
      <c r="V123" s="18">
        <f t="shared" ref="V123:AH123" si="162">C123*C130</f>
        <v>0.14249999999999999</v>
      </c>
      <c r="W123" s="18">
        <f t="shared" si="162"/>
        <v>1.0864</v>
      </c>
      <c r="X123" s="18">
        <f t="shared" si="162"/>
        <v>1.5712400000000002</v>
      </c>
      <c r="Y123" s="18">
        <f t="shared" si="162"/>
        <v>1.9744999999999999</v>
      </c>
      <c r="Z123" s="18">
        <f t="shared" si="162"/>
        <v>2.3144999999999998</v>
      </c>
      <c r="AA123" s="18">
        <f t="shared" si="162"/>
        <v>2.32856</v>
      </c>
      <c r="AB123" s="18">
        <f t="shared" si="162"/>
        <v>2.2382400000000002</v>
      </c>
      <c r="AC123" s="18">
        <f t="shared" si="162"/>
        <v>1.6194999999999999</v>
      </c>
      <c r="AD123" s="18">
        <f t="shared" si="162"/>
        <v>1.1765000000000001</v>
      </c>
      <c r="AE123" s="18">
        <f t="shared" si="162"/>
        <v>1.3995</v>
      </c>
      <c r="AF123" s="18">
        <f t="shared" si="162"/>
        <v>0.38222</v>
      </c>
      <c r="AG123" s="18">
        <f t="shared" si="162"/>
        <v>0.12479999999999999</v>
      </c>
      <c r="AH123" s="18">
        <f t="shared" si="162"/>
        <v>0</v>
      </c>
      <c r="AI123" s="18">
        <f t="shared" ref="AI123" si="163">R123*R130</f>
        <v>0</v>
      </c>
      <c r="AJ123" s="19">
        <f>SUM(V123:AI123)</f>
        <v>16.358460000000001</v>
      </c>
      <c r="AK123" s="2">
        <v>16.358460000000001</v>
      </c>
    </row>
    <row r="124" spans="1:37" ht="15.75" customHeight="1" x14ac:dyDescent="0.3">
      <c r="A124" s="217"/>
      <c r="B124" s="2" t="s">
        <v>110</v>
      </c>
      <c r="C124" s="15" t="s">
        <v>111</v>
      </c>
      <c r="D124" s="15" t="s">
        <v>111</v>
      </c>
      <c r="E124" s="15" t="s">
        <v>111</v>
      </c>
      <c r="F124" s="15" t="s">
        <v>140</v>
      </c>
      <c r="G124" s="15" t="s">
        <v>125</v>
      </c>
      <c r="H124" s="15" t="s">
        <v>112</v>
      </c>
      <c r="I124" s="15" t="s">
        <v>112</v>
      </c>
      <c r="J124" s="15" t="s">
        <v>112</v>
      </c>
      <c r="K124" s="15" t="s">
        <v>111</v>
      </c>
      <c r="L124" s="15" t="s">
        <v>111</v>
      </c>
      <c r="M124" s="15" t="s">
        <v>111</v>
      </c>
      <c r="N124" s="15" t="s">
        <v>111</v>
      </c>
      <c r="O124" s="15"/>
      <c r="P124" s="15" t="s">
        <v>105</v>
      </c>
      <c r="Q124" s="15">
        <f t="shared" ref="Q124" si="164">COUNTIF(C124:N124,"Cortex")</f>
        <v>7</v>
      </c>
      <c r="S124" s="217"/>
      <c r="T124" s="217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23"/>
    </row>
    <row r="125" spans="1:37" ht="15.75" customHeight="1" x14ac:dyDescent="0.3">
      <c r="A125" s="217"/>
      <c r="B125" s="2" t="s">
        <v>99</v>
      </c>
      <c r="C125" s="15">
        <v>8.9459999999999997</v>
      </c>
      <c r="D125" s="15">
        <v>12.31</v>
      </c>
      <c r="E125" s="15">
        <v>14.374000000000001</v>
      </c>
      <c r="F125" s="15">
        <v>17.602</v>
      </c>
      <c r="G125" s="15">
        <v>19.515999999999998</v>
      </c>
      <c r="H125" s="15">
        <v>21.355</v>
      </c>
      <c r="I125" s="15">
        <v>23.402999999999999</v>
      </c>
      <c r="J125" s="15">
        <v>24.239000000000001</v>
      </c>
      <c r="K125" s="15">
        <v>25.344000000000001</v>
      </c>
      <c r="L125" s="15">
        <v>26.137</v>
      </c>
      <c r="M125" s="15">
        <v>26.233000000000001</v>
      </c>
      <c r="N125" s="15">
        <v>25.178000000000001</v>
      </c>
      <c r="O125" s="15"/>
      <c r="P125" s="15" t="s">
        <v>106</v>
      </c>
      <c r="Q125" s="15">
        <f t="shared" ref="Q125" si="165">Q123-Q124</f>
        <v>5</v>
      </c>
      <c r="S125" s="217"/>
      <c r="T125" s="217"/>
      <c r="U125" s="8" t="s">
        <v>99</v>
      </c>
      <c r="V125" s="15">
        <f t="shared" ref="V125:AH125" si="166">C125*C130</f>
        <v>4.4729999999999999</v>
      </c>
      <c r="W125" s="15">
        <f t="shared" si="166"/>
        <v>6.8936000000000011</v>
      </c>
      <c r="X125" s="15">
        <f t="shared" si="166"/>
        <v>6.32456</v>
      </c>
      <c r="Y125" s="15">
        <f t="shared" si="166"/>
        <v>8.8010000000000002</v>
      </c>
      <c r="Z125" s="15">
        <f t="shared" si="166"/>
        <v>9.7579999999999991</v>
      </c>
      <c r="AA125" s="15">
        <f t="shared" si="166"/>
        <v>11.104600000000001</v>
      </c>
      <c r="AB125" s="15">
        <f t="shared" si="166"/>
        <v>11.233439999999998</v>
      </c>
      <c r="AC125" s="15">
        <f t="shared" si="166"/>
        <v>12.1195</v>
      </c>
      <c r="AD125" s="15">
        <f t="shared" si="166"/>
        <v>12.672000000000001</v>
      </c>
      <c r="AE125" s="15">
        <f t="shared" si="166"/>
        <v>13.0685</v>
      </c>
      <c r="AF125" s="15">
        <f t="shared" si="166"/>
        <v>15.21514</v>
      </c>
      <c r="AG125" s="15">
        <f t="shared" si="166"/>
        <v>12.08544</v>
      </c>
      <c r="AH125" s="15">
        <f t="shared" si="166"/>
        <v>0</v>
      </c>
      <c r="AI125" s="15">
        <f t="shared" ref="AI125" si="167">R125*R130</f>
        <v>0</v>
      </c>
      <c r="AJ125" s="23">
        <f>SUM(V125:AI125)</f>
        <v>123.74878000000002</v>
      </c>
      <c r="AK125" s="2">
        <v>123.74878000000002</v>
      </c>
    </row>
    <row r="126" spans="1:37" ht="15.75" customHeight="1" x14ac:dyDescent="0.3">
      <c r="A126" s="217"/>
      <c r="B126" s="2" t="s">
        <v>100</v>
      </c>
      <c r="C126" s="15">
        <v>9.0739999999999998</v>
      </c>
      <c r="D126" s="15">
        <v>12.808</v>
      </c>
      <c r="E126" s="15">
        <v>14.898</v>
      </c>
      <c r="F126" s="15">
        <v>17.166</v>
      </c>
      <c r="G126" s="15">
        <v>19.731000000000002</v>
      </c>
      <c r="H126" s="15">
        <v>22.332999999999998</v>
      </c>
      <c r="I126" s="15">
        <v>24.408999999999999</v>
      </c>
      <c r="J126" s="15">
        <v>24.759</v>
      </c>
      <c r="K126" s="15">
        <v>26.303999999999998</v>
      </c>
      <c r="L126" s="15">
        <v>26.635000000000002</v>
      </c>
      <c r="M126" s="15">
        <v>26.864000000000001</v>
      </c>
      <c r="N126" s="15">
        <v>25.675000000000001</v>
      </c>
      <c r="O126" s="15"/>
      <c r="P126" s="15" t="s">
        <v>113</v>
      </c>
      <c r="Q126" s="16">
        <f t="shared" ref="Q126" si="168">COUNTIF(C123:O123, "&gt;=0" )</f>
        <v>12</v>
      </c>
      <c r="S126" s="217"/>
      <c r="T126" s="217"/>
      <c r="U126" s="8" t="s">
        <v>100</v>
      </c>
      <c r="V126" s="15">
        <f t="shared" ref="V126:AH126" si="169">C126*C130</f>
        <v>4.5369999999999999</v>
      </c>
      <c r="W126" s="15">
        <f t="shared" si="169"/>
        <v>7.1724800000000002</v>
      </c>
      <c r="X126" s="15">
        <f t="shared" si="169"/>
        <v>6.5551199999999996</v>
      </c>
      <c r="Y126" s="15">
        <f t="shared" si="169"/>
        <v>8.5830000000000002</v>
      </c>
      <c r="Z126" s="15">
        <f t="shared" si="169"/>
        <v>9.8655000000000008</v>
      </c>
      <c r="AA126" s="15">
        <f t="shared" si="169"/>
        <v>11.613159999999999</v>
      </c>
      <c r="AB126" s="15">
        <f t="shared" si="169"/>
        <v>11.71632</v>
      </c>
      <c r="AC126" s="15">
        <f t="shared" si="169"/>
        <v>12.3795</v>
      </c>
      <c r="AD126" s="15">
        <f t="shared" si="169"/>
        <v>13.151999999999999</v>
      </c>
      <c r="AE126" s="15">
        <f t="shared" si="169"/>
        <v>13.317500000000001</v>
      </c>
      <c r="AF126" s="15">
        <f t="shared" si="169"/>
        <v>15.581119999999999</v>
      </c>
      <c r="AG126" s="15">
        <f t="shared" si="169"/>
        <v>12.324</v>
      </c>
      <c r="AH126" s="15">
        <f t="shared" si="169"/>
        <v>0</v>
      </c>
      <c r="AI126" s="15">
        <f t="shared" ref="AI126" si="170">R126*R130</f>
        <v>0</v>
      </c>
      <c r="AJ126" s="23">
        <f>SUM(V126:AI126)</f>
        <v>126.79669999999999</v>
      </c>
      <c r="AK126" s="2">
        <v>126.79669999999999</v>
      </c>
    </row>
    <row r="127" spans="1:37" x14ac:dyDescent="0.3">
      <c r="A127" s="6"/>
      <c r="B127" s="2" t="s">
        <v>114</v>
      </c>
      <c r="C127" s="15">
        <v>8.7889999999999997</v>
      </c>
      <c r="D127" s="15">
        <v>10.868</v>
      </c>
      <c r="E127" s="15">
        <v>11.327</v>
      </c>
      <c r="F127" s="15">
        <v>13.217000000000001</v>
      </c>
      <c r="G127" s="15">
        <v>15.102000000000002</v>
      </c>
      <c r="H127" s="15">
        <v>17.854999999999997</v>
      </c>
      <c r="I127" s="15">
        <v>19.745999999999999</v>
      </c>
      <c r="J127" s="15">
        <v>21.52</v>
      </c>
      <c r="K127" s="15">
        <v>23.950999999999997</v>
      </c>
      <c r="L127" s="15">
        <v>23.836000000000002</v>
      </c>
      <c r="M127" s="15">
        <v>26.205000000000002</v>
      </c>
      <c r="N127" s="15">
        <v>25.414999999999999</v>
      </c>
      <c r="O127" s="15"/>
      <c r="P127" s="15"/>
      <c r="Q127" s="15"/>
      <c r="S127" s="6"/>
      <c r="T127" s="6"/>
      <c r="U127" s="8" t="s">
        <v>101</v>
      </c>
      <c r="V127" s="15">
        <f t="shared" ref="V127:AH127" si="171">C127*C130</f>
        <v>4.3944999999999999</v>
      </c>
      <c r="W127" s="15">
        <f t="shared" si="171"/>
        <v>6.0860800000000008</v>
      </c>
      <c r="X127" s="15">
        <f t="shared" si="171"/>
        <v>4.9838800000000001</v>
      </c>
      <c r="Y127" s="15">
        <f t="shared" si="171"/>
        <v>6.6085000000000003</v>
      </c>
      <c r="Z127" s="15">
        <f t="shared" si="171"/>
        <v>7.551000000000001</v>
      </c>
      <c r="AA127" s="15">
        <f t="shared" si="171"/>
        <v>9.2845999999999993</v>
      </c>
      <c r="AB127" s="15">
        <f t="shared" si="171"/>
        <v>9.4780799999999985</v>
      </c>
      <c r="AC127" s="15">
        <f t="shared" si="171"/>
        <v>10.76</v>
      </c>
      <c r="AD127" s="15">
        <f t="shared" si="171"/>
        <v>11.975499999999998</v>
      </c>
      <c r="AE127" s="15">
        <f t="shared" si="171"/>
        <v>11.918000000000001</v>
      </c>
      <c r="AF127" s="15">
        <f t="shared" si="171"/>
        <v>15.1989</v>
      </c>
      <c r="AG127" s="15">
        <f t="shared" si="171"/>
        <v>12.199199999999999</v>
      </c>
      <c r="AH127" s="15">
        <f t="shared" si="171"/>
        <v>0</v>
      </c>
      <c r="AI127" s="15">
        <f t="shared" ref="AI127" si="172">R127*R130</f>
        <v>0</v>
      </c>
      <c r="AJ127" s="23">
        <f>SUM(V127:AI127)</f>
        <v>110.43824000000001</v>
      </c>
      <c r="AK127" s="2">
        <v>110.43824000000001</v>
      </c>
    </row>
    <row r="128" spans="1:37" x14ac:dyDescent="0.3">
      <c r="A128" s="6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S128" s="6"/>
      <c r="T128" s="6"/>
      <c r="U128" s="24" t="s">
        <v>115</v>
      </c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19">
        <f>(AJ125-AJ126)/AJ125*100</f>
        <v>-2.4629899381633997</v>
      </c>
      <c r="AK128" s="2">
        <v>-2.4629899381633997</v>
      </c>
    </row>
    <row r="129" spans="1:37" x14ac:dyDescent="0.3">
      <c r="A129" s="6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S129" s="6"/>
      <c r="T129" s="6"/>
      <c r="U129" s="24" t="s">
        <v>103</v>
      </c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19">
        <f>AJ125-AJ127</f>
        <v>13.310540000000017</v>
      </c>
      <c r="AK129" s="2">
        <v>13.310540000000017</v>
      </c>
    </row>
    <row r="130" spans="1:37" ht="16.2" thickBot="1" x14ac:dyDescent="0.35">
      <c r="A130" s="6"/>
      <c r="B130" s="2" t="s">
        <v>32</v>
      </c>
      <c r="C130" s="15">
        <v>0.5</v>
      </c>
      <c r="D130" s="15">
        <v>0.56000000000000005</v>
      </c>
      <c r="E130" s="15">
        <v>0.44</v>
      </c>
      <c r="F130" s="15">
        <v>0.5</v>
      </c>
      <c r="G130" s="15">
        <v>0.5</v>
      </c>
      <c r="H130" s="15">
        <v>0.52</v>
      </c>
      <c r="I130" s="15">
        <v>0.48</v>
      </c>
      <c r="J130" s="15">
        <v>0.5</v>
      </c>
      <c r="K130" s="15">
        <v>0.5</v>
      </c>
      <c r="L130" s="15">
        <v>0.5</v>
      </c>
      <c r="M130" s="15">
        <v>0.57999999999999996</v>
      </c>
      <c r="N130" s="15">
        <v>0.48</v>
      </c>
      <c r="O130" s="15"/>
      <c r="P130" s="15"/>
      <c r="Q130" s="15"/>
      <c r="R130" s="16"/>
      <c r="S130" s="6"/>
      <c r="T130" s="6"/>
      <c r="U130" s="8" t="s">
        <v>97</v>
      </c>
      <c r="V130" s="221" t="s">
        <v>143</v>
      </c>
      <c r="W130" s="221"/>
      <c r="X130" s="221"/>
      <c r="Y130" s="221"/>
      <c r="Z130" s="221"/>
      <c r="AA130" s="221"/>
      <c r="AB130" s="221"/>
      <c r="AC130" s="221"/>
      <c r="AD130" s="221"/>
      <c r="AE130" s="221"/>
      <c r="AF130" s="221"/>
      <c r="AG130" s="221"/>
      <c r="AH130" s="221"/>
      <c r="AI130" s="222"/>
      <c r="AJ130" s="26"/>
    </row>
    <row r="131" spans="1:37" ht="15.75" customHeight="1" x14ac:dyDescent="0.3">
      <c r="A131" s="216" t="s">
        <v>144</v>
      </c>
      <c r="B131" s="13" t="s">
        <v>98</v>
      </c>
      <c r="C131" s="14">
        <v>0</v>
      </c>
      <c r="D131" s="14">
        <v>0.126</v>
      </c>
      <c r="E131" s="14">
        <v>1.361</v>
      </c>
      <c r="F131" s="14">
        <v>3.081</v>
      </c>
      <c r="G131" s="14">
        <v>3.11</v>
      </c>
      <c r="H131" s="14">
        <v>2.7719999999999998</v>
      </c>
      <c r="I131" s="14">
        <v>2.069</v>
      </c>
      <c r="J131" s="14">
        <v>1.865</v>
      </c>
      <c r="K131" s="14">
        <v>0.39700000000000002</v>
      </c>
      <c r="L131" s="14"/>
      <c r="M131" s="14"/>
      <c r="N131" s="14"/>
      <c r="O131" s="14"/>
      <c r="P131" s="15" t="s">
        <v>109</v>
      </c>
      <c r="Q131" s="16">
        <f t="shared" ref="Q131" si="173">COUNTIF(C131:N131, "&gt;0" )</f>
        <v>8</v>
      </c>
      <c r="S131" s="216" t="s">
        <v>144</v>
      </c>
      <c r="T131" s="216" t="s">
        <v>2</v>
      </c>
      <c r="U131" s="17" t="s">
        <v>98</v>
      </c>
      <c r="V131" s="18">
        <f t="shared" ref="V131:AH131" si="174">C131*C138</f>
        <v>0</v>
      </c>
      <c r="W131" s="18">
        <f t="shared" si="174"/>
        <v>6.3E-2</v>
      </c>
      <c r="X131" s="18">
        <f t="shared" si="174"/>
        <v>0.68049999999999999</v>
      </c>
      <c r="Y131" s="18">
        <f t="shared" si="174"/>
        <v>1.5405</v>
      </c>
      <c r="Z131" s="18">
        <f t="shared" si="174"/>
        <v>1.5549999999999999</v>
      </c>
      <c r="AA131" s="18">
        <f t="shared" si="174"/>
        <v>1.3859999999999999</v>
      </c>
      <c r="AB131" s="18">
        <f t="shared" si="174"/>
        <v>1.0345</v>
      </c>
      <c r="AC131" s="18">
        <f t="shared" si="174"/>
        <v>0.9325</v>
      </c>
      <c r="AD131" s="18">
        <f t="shared" si="174"/>
        <v>0.19850000000000001</v>
      </c>
      <c r="AE131" s="18">
        <f t="shared" si="174"/>
        <v>0</v>
      </c>
      <c r="AF131" s="18">
        <f t="shared" si="174"/>
        <v>0</v>
      </c>
      <c r="AG131" s="18">
        <f t="shared" si="174"/>
        <v>0</v>
      </c>
      <c r="AH131" s="18">
        <f t="shared" si="174"/>
        <v>0</v>
      </c>
      <c r="AI131" s="18">
        <f t="shared" ref="AI131" si="175">R131*R138</f>
        <v>0</v>
      </c>
      <c r="AJ131" s="19">
        <f>SUM(V131:AI131)</f>
        <v>7.3904999999999994</v>
      </c>
      <c r="AK131" s="2">
        <v>7.3904999999999994</v>
      </c>
    </row>
    <row r="132" spans="1:37" ht="15.75" customHeight="1" x14ac:dyDescent="0.3">
      <c r="A132" s="217"/>
      <c r="B132" s="2" t="s">
        <v>110</v>
      </c>
      <c r="C132" s="15"/>
      <c r="D132" s="15" t="s">
        <v>111</v>
      </c>
      <c r="E132" s="15" t="s">
        <v>145</v>
      </c>
      <c r="F132" s="15" t="s">
        <v>112</v>
      </c>
      <c r="G132" s="15" t="s">
        <v>111</v>
      </c>
      <c r="H132" s="15" t="s">
        <v>112</v>
      </c>
      <c r="I132" s="15" t="s">
        <v>111</v>
      </c>
      <c r="J132" s="15" t="s">
        <v>111</v>
      </c>
      <c r="K132" s="15" t="s">
        <v>111</v>
      </c>
      <c r="L132" s="15"/>
      <c r="M132" s="15"/>
      <c r="N132" s="15"/>
      <c r="O132" s="15"/>
      <c r="P132" s="15" t="s">
        <v>105</v>
      </c>
      <c r="Q132" s="15">
        <f t="shared" ref="Q132" si="176">COUNTIF(C132:N132,"Cortex")</f>
        <v>5</v>
      </c>
      <c r="S132" s="217"/>
      <c r="T132" s="217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23"/>
    </row>
    <row r="133" spans="1:37" ht="15.75" customHeight="1" x14ac:dyDescent="0.3">
      <c r="A133" s="217"/>
      <c r="B133" s="2" t="s">
        <v>99</v>
      </c>
      <c r="C133" s="15">
        <v>14.689</v>
      </c>
      <c r="D133" s="15">
        <v>16.970999999999997</v>
      </c>
      <c r="E133" s="15">
        <v>20.265999999999998</v>
      </c>
      <c r="F133" s="15">
        <v>21.553000000000001</v>
      </c>
      <c r="G133" s="15">
        <v>23.408000000000001</v>
      </c>
      <c r="H133" s="15">
        <v>24.693999999999999</v>
      </c>
      <c r="I133" s="15">
        <v>26.414999999999999</v>
      </c>
      <c r="J133" s="15">
        <v>26.568999999999999</v>
      </c>
      <c r="K133" s="15">
        <v>27.376000000000001</v>
      </c>
      <c r="L133" s="15"/>
      <c r="M133" s="15"/>
      <c r="N133" s="15"/>
      <c r="O133" s="15"/>
      <c r="P133" s="15" t="s">
        <v>106</v>
      </c>
      <c r="Q133" s="15">
        <f t="shared" ref="Q133" si="177">Q131-Q132</f>
        <v>3</v>
      </c>
      <c r="S133" s="217"/>
      <c r="T133" s="217"/>
      <c r="U133" s="8" t="s">
        <v>99</v>
      </c>
      <c r="V133" s="15">
        <f t="shared" ref="V133:AH133" si="178">C133*C138</f>
        <v>7.3445</v>
      </c>
      <c r="W133" s="15">
        <f t="shared" si="178"/>
        <v>8.4854999999999983</v>
      </c>
      <c r="X133" s="15">
        <f t="shared" si="178"/>
        <v>10.132999999999999</v>
      </c>
      <c r="Y133" s="15">
        <f t="shared" si="178"/>
        <v>10.7765</v>
      </c>
      <c r="Z133" s="15">
        <f t="shared" si="178"/>
        <v>11.704000000000001</v>
      </c>
      <c r="AA133" s="15">
        <f t="shared" si="178"/>
        <v>12.347</v>
      </c>
      <c r="AB133" s="15">
        <f t="shared" si="178"/>
        <v>13.2075</v>
      </c>
      <c r="AC133" s="15">
        <f t="shared" si="178"/>
        <v>13.2845</v>
      </c>
      <c r="AD133" s="15">
        <f t="shared" si="178"/>
        <v>13.688000000000001</v>
      </c>
      <c r="AE133" s="15">
        <f t="shared" si="178"/>
        <v>0</v>
      </c>
      <c r="AF133" s="15">
        <f t="shared" si="178"/>
        <v>0</v>
      </c>
      <c r="AG133" s="15">
        <f t="shared" si="178"/>
        <v>0</v>
      </c>
      <c r="AH133" s="15">
        <f t="shared" si="178"/>
        <v>0</v>
      </c>
      <c r="AI133" s="15">
        <f t="shared" ref="AI133" si="179">R133*R138</f>
        <v>0</v>
      </c>
      <c r="AJ133" s="23">
        <f>SUM(V133:AI133)</f>
        <v>100.9705</v>
      </c>
      <c r="AK133" s="2">
        <v>100.9705</v>
      </c>
    </row>
    <row r="134" spans="1:37" ht="15.75" customHeight="1" x14ac:dyDescent="0.3">
      <c r="A134" s="217"/>
      <c r="B134" s="2" t="s">
        <v>100</v>
      </c>
      <c r="C134" s="15">
        <v>13.337999999999999</v>
      </c>
      <c r="D134" s="15">
        <v>17.512</v>
      </c>
      <c r="E134" s="15">
        <v>19.91</v>
      </c>
      <c r="F134" s="15">
        <v>21.599</v>
      </c>
      <c r="G134" s="15">
        <v>22.670999999999999</v>
      </c>
      <c r="H134" s="15">
        <v>23.256</v>
      </c>
      <c r="I134" s="15">
        <v>25.271999999999998</v>
      </c>
      <c r="J134" s="15">
        <v>24.85</v>
      </c>
      <c r="K134" s="15">
        <v>26.065999999999999</v>
      </c>
      <c r="L134" s="15"/>
      <c r="M134" s="15"/>
      <c r="N134" s="15"/>
      <c r="O134" s="15"/>
      <c r="P134" s="15" t="s">
        <v>113</v>
      </c>
      <c r="Q134" s="16">
        <f t="shared" ref="Q134" si="180">COUNTIF(C131:O131, "&gt;=0" )</f>
        <v>9</v>
      </c>
      <c r="S134" s="217"/>
      <c r="T134" s="217"/>
      <c r="U134" s="8" t="s">
        <v>100</v>
      </c>
      <c r="V134" s="15">
        <f t="shared" ref="V134:AH134" si="181">C134*C138</f>
        <v>6.6689999999999996</v>
      </c>
      <c r="W134" s="15">
        <f t="shared" si="181"/>
        <v>8.7560000000000002</v>
      </c>
      <c r="X134" s="15">
        <f t="shared" si="181"/>
        <v>9.9550000000000001</v>
      </c>
      <c r="Y134" s="15">
        <f t="shared" si="181"/>
        <v>10.7995</v>
      </c>
      <c r="Z134" s="15">
        <f t="shared" si="181"/>
        <v>11.3355</v>
      </c>
      <c r="AA134" s="15">
        <f t="shared" si="181"/>
        <v>11.628</v>
      </c>
      <c r="AB134" s="15">
        <f t="shared" si="181"/>
        <v>12.635999999999999</v>
      </c>
      <c r="AC134" s="15">
        <f t="shared" si="181"/>
        <v>12.425000000000001</v>
      </c>
      <c r="AD134" s="15">
        <f t="shared" si="181"/>
        <v>13.032999999999999</v>
      </c>
      <c r="AE134" s="15">
        <f t="shared" si="181"/>
        <v>0</v>
      </c>
      <c r="AF134" s="15">
        <f t="shared" si="181"/>
        <v>0</v>
      </c>
      <c r="AG134" s="15">
        <f t="shared" si="181"/>
        <v>0</v>
      </c>
      <c r="AH134" s="15">
        <f t="shared" si="181"/>
        <v>0</v>
      </c>
      <c r="AI134" s="15">
        <f t="shared" ref="AI134" si="182">R134*R138</f>
        <v>0</v>
      </c>
      <c r="AJ134" s="23">
        <f>SUM(V134:AI134)</f>
        <v>97.236999999999995</v>
      </c>
      <c r="AK134" s="2">
        <v>97.236999999999995</v>
      </c>
    </row>
    <row r="135" spans="1:37" x14ac:dyDescent="0.3">
      <c r="A135" s="6"/>
      <c r="B135" s="2" t="s">
        <v>114</v>
      </c>
      <c r="C135" s="15">
        <v>13.337999999999999</v>
      </c>
      <c r="D135" s="15">
        <v>17.385999999999999</v>
      </c>
      <c r="E135" s="15">
        <v>18.548999999999999</v>
      </c>
      <c r="F135" s="15">
        <v>18.518000000000001</v>
      </c>
      <c r="G135" s="15">
        <v>19.561</v>
      </c>
      <c r="H135" s="15">
        <v>20.484000000000002</v>
      </c>
      <c r="I135" s="15">
        <v>23.202999999999999</v>
      </c>
      <c r="J135" s="15">
        <v>22.985000000000003</v>
      </c>
      <c r="K135" s="15">
        <v>25.669</v>
      </c>
      <c r="L135" s="15"/>
      <c r="M135" s="15"/>
      <c r="N135" s="15"/>
      <c r="O135" s="15"/>
      <c r="P135" s="15"/>
      <c r="Q135" s="15"/>
      <c r="S135" s="6"/>
      <c r="T135" s="6"/>
      <c r="U135" s="8" t="s">
        <v>101</v>
      </c>
      <c r="V135" s="15">
        <f t="shared" ref="V135:AH135" si="183">C135*C138</f>
        <v>6.6689999999999996</v>
      </c>
      <c r="W135" s="15">
        <f t="shared" si="183"/>
        <v>8.6929999999999996</v>
      </c>
      <c r="X135" s="15">
        <f t="shared" si="183"/>
        <v>9.2744999999999997</v>
      </c>
      <c r="Y135" s="15">
        <f t="shared" si="183"/>
        <v>9.2590000000000003</v>
      </c>
      <c r="Z135" s="15">
        <f t="shared" si="183"/>
        <v>9.7805</v>
      </c>
      <c r="AA135" s="15">
        <f t="shared" si="183"/>
        <v>10.242000000000001</v>
      </c>
      <c r="AB135" s="15">
        <f t="shared" si="183"/>
        <v>11.6015</v>
      </c>
      <c r="AC135" s="15">
        <f t="shared" si="183"/>
        <v>11.492500000000001</v>
      </c>
      <c r="AD135" s="15">
        <f t="shared" si="183"/>
        <v>12.8345</v>
      </c>
      <c r="AE135" s="15">
        <f t="shared" si="183"/>
        <v>0</v>
      </c>
      <c r="AF135" s="15">
        <f t="shared" si="183"/>
        <v>0</v>
      </c>
      <c r="AG135" s="15">
        <f t="shared" si="183"/>
        <v>0</v>
      </c>
      <c r="AH135" s="15">
        <f t="shared" si="183"/>
        <v>0</v>
      </c>
      <c r="AI135" s="15">
        <f t="shared" ref="AI135" si="184">R135*R138</f>
        <v>0</v>
      </c>
      <c r="AJ135" s="23">
        <f>SUM(V135:AI135)</f>
        <v>89.84650000000002</v>
      </c>
      <c r="AK135" s="2">
        <v>89.84650000000002</v>
      </c>
    </row>
    <row r="136" spans="1:37" x14ac:dyDescent="0.3">
      <c r="A136" s="6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S136" s="6"/>
      <c r="T136" s="6"/>
      <c r="U136" s="24" t="s">
        <v>115</v>
      </c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19">
        <f>(AJ133-AJ134)/AJ133*100</f>
        <v>3.6976146498234699</v>
      </c>
      <c r="AK136" s="2">
        <v>3.6976146498234699</v>
      </c>
    </row>
    <row r="137" spans="1:37" x14ac:dyDescent="0.3">
      <c r="A137" s="6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S137" s="6"/>
      <c r="T137" s="6"/>
      <c r="U137" s="24" t="s">
        <v>103</v>
      </c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19">
        <f>AJ133-AJ135</f>
        <v>11.123999999999981</v>
      </c>
      <c r="AK137" s="2">
        <v>11.123999999999981</v>
      </c>
    </row>
    <row r="138" spans="1:37" ht="16.2" thickBot="1" x14ac:dyDescent="0.35">
      <c r="A138" s="6"/>
      <c r="B138" s="2" t="s">
        <v>32</v>
      </c>
      <c r="C138" s="15">
        <v>0.5</v>
      </c>
      <c r="D138" s="15">
        <v>0.5</v>
      </c>
      <c r="E138" s="15">
        <v>0.5</v>
      </c>
      <c r="F138" s="15">
        <v>0.5</v>
      </c>
      <c r="G138" s="15">
        <v>0.5</v>
      </c>
      <c r="H138" s="15">
        <v>0.5</v>
      </c>
      <c r="I138" s="15">
        <v>0.5</v>
      </c>
      <c r="J138" s="15">
        <v>0.5</v>
      </c>
      <c r="K138" s="15">
        <v>0.5</v>
      </c>
      <c r="L138" s="15"/>
      <c r="M138" s="15"/>
      <c r="N138" s="15"/>
      <c r="O138" s="15"/>
      <c r="P138" s="15"/>
      <c r="Q138" s="15"/>
      <c r="R138" s="16"/>
      <c r="S138" s="6"/>
      <c r="T138" s="6"/>
      <c r="U138" s="8" t="s">
        <v>97</v>
      </c>
      <c r="V138" s="219"/>
      <c r="W138" s="219"/>
      <c r="X138" s="219"/>
      <c r="Y138" s="219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20"/>
      <c r="AJ138" s="26"/>
    </row>
    <row r="139" spans="1:37" ht="15.75" customHeight="1" x14ac:dyDescent="0.3">
      <c r="A139" s="216" t="s">
        <v>146</v>
      </c>
      <c r="B139" s="13" t="s">
        <v>98</v>
      </c>
      <c r="C139" s="14">
        <v>0</v>
      </c>
      <c r="D139" s="14">
        <v>0</v>
      </c>
      <c r="E139" s="14">
        <v>0.14099999999999999</v>
      </c>
      <c r="F139" s="14">
        <v>2.5379999999999998</v>
      </c>
      <c r="G139" s="14">
        <v>3.7810000000000001</v>
      </c>
      <c r="H139" s="14">
        <v>3.3380000000000001</v>
      </c>
      <c r="I139" s="14">
        <v>3.081</v>
      </c>
      <c r="J139" s="14">
        <v>1.3260000000000001</v>
      </c>
      <c r="K139" s="14">
        <v>0.48499999999999999</v>
      </c>
      <c r="L139" s="14">
        <v>0.245</v>
      </c>
      <c r="M139" s="14"/>
      <c r="N139" s="14"/>
      <c r="O139" s="14"/>
      <c r="P139" s="15" t="s">
        <v>109</v>
      </c>
      <c r="Q139" s="16">
        <f t="shared" ref="Q139" si="185">COUNTIF(C139:N139, "&gt;0" )</f>
        <v>8</v>
      </c>
      <c r="S139" s="216" t="s">
        <v>146</v>
      </c>
      <c r="T139" s="216" t="s">
        <v>2</v>
      </c>
      <c r="U139" s="17" t="s">
        <v>98</v>
      </c>
      <c r="V139" s="18">
        <f t="shared" ref="V139:AH139" si="186">C139*C146</f>
        <v>0</v>
      </c>
      <c r="W139" s="18">
        <f t="shared" si="186"/>
        <v>0</v>
      </c>
      <c r="X139" s="18">
        <f t="shared" si="186"/>
        <v>7.0499999999999993E-2</v>
      </c>
      <c r="Y139" s="18">
        <f t="shared" si="186"/>
        <v>1.31976</v>
      </c>
      <c r="Z139" s="18">
        <f t="shared" si="186"/>
        <v>2.1173600000000001</v>
      </c>
      <c r="AA139" s="18">
        <f t="shared" si="186"/>
        <v>1.4019599999999999</v>
      </c>
      <c r="AB139" s="18">
        <f t="shared" si="186"/>
        <v>1.5405</v>
      </c>
      <c r="AC139" s="18">
        <f t="shared" si="186"/>
        <v>0.66300000000000003</v>
      </c>
      <c r="AD139" s="18">
        <f t="shared" si="186"/>
        <v>0.25219999999999998</v>
      </c>
      <c r="AE139" s="18">
        <f t="shared" si="186"/>
        <v>0.1176</v>
      </c>
      <c r="AF139" s="18">
        <f t="shared" si="186"/>
        <v>0</v>
      </c>
      <c r="AG139" s="18">
        <f t="shared" si="186"/>
        <v>0</v>
      </c>
      <c r="AH139" s="18">
        <f t="shared" si="186"/>
        <v>0</v>
      </c>
      <c r="AI139" s="18">
        <f t="shared" ref="AI139" si="187">R139*R146</f>
        <v>0</v>
      </c>
      <c r="AJ139" s="19">
        <f>SUM(V139:AI139)</f>
        <v>7.4828800000000006</v>
      </c>
      <c r="AK139" s="2">
        <v>7.4828800000000006</v>
      </c>
    </row>
    <row r="140" spans="1:37" ht="15.75" customHeight="1" x14ac:dyDescent="0.3">
      <c r="A140" s="217"/>
      <c r="B140" s="2" t="s">
        <v>110</v>
      </c>
      <c r="C140" s="15"/>
      <c r="D140" s="15"/>
      <c r="E140" s="15" t="s">
        <v>111</v>
      </c>
      <c r="F140" s="15" t="s">
        <v>111</v>
      </c>
      <c r="G140" s="15" t="s">
        <v>111</v>
      </c>
      <c r="H140" s="15" t="s">
        <v>112</v>
      </c>
      <c r="I140" s="15" t="s">
        <v>112</v>
      </c>
      <c r="J140" s="15" t="s">
        <v>111</v>
      </c>
      <c r="K140" s="15" t="s">
        <v>111</v>
      </c>
      <c r="L140" s="15" t="s">
        <v>111</v>
      </c>
      <c r="M140" s="15"/>
      <c r="N140" s="15"/>
      <c r="O140" s="15"/>
      <c r="P140" s="15" t="s">
        <v>105</v>
      </c>
      <c r="Q140" s="15">
        <f t="shared" ref="Q140" si="188">COUNTIF(C140:N140,"Cortex")</f>
        <v>6</v>
      </c>
      <c r="S140" s="217"/>
      <c r="T140" s="217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23"/>
    </row>
    <row r="141" spans="1:37" ht="15.75" customHeight="1" x14ac:dyDescent="0.3">
      <c r="A141" s="217"/>
      <c r="B141" s="2" t="s">
        <v>99</v>
      </c>
      <c r="C141" s="15">
        <v>10.698</v>
      </c>
      <c r="D141" s="15">
        <v>13.247999999999999</v>
      </c>
      <c r="E141" s="15">
        <v>15.619</v>
      </c>
      <c r="F141" s="15">
        <v>19.128</v>
      </c>
      <c r="G141" s="15">
        <v>21.741</v>
      </c>
      <c r="H141" s="15">
        <v>22.617999999999999</v>
      </c>
      <c r="I141" s="15">
        <v>23.221</v>
      </c>
      <c r="J141" s="15">
        <v>24.628</v>
      </c>
      <c r="K141" s="15">
        <v>26.143999999999998</v>
      </c>
      <c r="L141" s="15">
        <v>26.35</v>
      </c>
      <c r="M141" s="15"/>
      <c r="N141" s="15"/>
      <c r="O141" s="15"/>
      <c r="P141" s="15" t="s">
        <v>106</v>
      </c>
      <c r="Q141" s="15">
        <f t="shared" ref="Q141" si="189">Q139-Q140</f>
        <v>2</v>
      </c>
      <c r="S141" s="217"/>
      <c r="T141" s="217"/>
      <c r="U141" s="8" t="s">
        <v>99</v>
      </c>
      <c r="V141" s="15">
        <f t="shared" ref="V141:AH141" si="190">C141*C146</f>
        <v>5.3490000000000002</v>
      </c>
      <c r="W141" s="15">
        <f t="shared" si="190"/>
        <v>6.6239999999999997</v>
      </c>
      <c r="X141" s="15">
        <f t="shared" si="190"/>
        <v>7.8094999999999999</v>
      </c>
      <c r="Y141" s="15">
        <f t="shared" si="190"/>
        <v>9.9465599999999998</v>
      </c>
      <c r="Z141" s="15">
        <f t="shared" si="190"/>
        <v>12.17496</v>
      </c>
      <c r="AA141" s="15">
        <f t="shared" si="190"/>
        <v>9.4995599999999989</v>
      </c>
      <c r="AB141" s="15">
        <f t="shared" si="190"/>
        <v>11.6105</v>
      </c>
      <c r="AC141" s="15">
        <f t="shared" si="190"/>
        <v>12.314</v>
      </c>
      <c r="AD141" s="15">
        <f t="shared" si="190"/>
        <v>13.59488</v>
      </c>
      <c r="AE141" s="15">
        <f t="shared" si="190"/>
        <v>12.648</v>
      </c>
      <c r="AF141" s="15">
        <f t="shared" si="190"/>
        <v>0</v>
      </c>
      <c r="AG141" s="15">
        <f t="shared" si="190"/>
        <v>0</v>
      </c>
      <c r="AH141" s="15">
        <f t="shared" si="190"/>
        <v>0</v>
      </c>
      <c r="AI141" s="15">
        <f t="shared" ref="AI141" si="191">R141*R146</f>
        <v>0</v>
      </c>
      <c r="AJ141" s="23">
        <f>SUM(V141:AI141)</f>
        <v>101.57096</v>
      </c>
      <c r="AK141" s="2">
        <v>101.57096</v>
      </c>
    </row>
    <row r="142" spans="1:37" ht="15.75" customHeight="1" x14ac:dyDescent="0.3">
      <c r="A142" s="217"/>
      <c r="B142" s="2" t="s">
        <v>100</v>
      </c>
      <c r="C142" s="15">
        <v>10.75</v>
      </c>
      <c r="D142" s="15">
        <v>12.753</v>
      </c>
      <c r="E142" s="15">
        <v>15.334</v>
      </c>
      <c r="F142" s="15">
        <v>18.553000000000001</v>
      </c>
      <c r="G142" s="15">
        <v>21.893999999999998</v>
      </c>
      <c r="H142" s="15">
        <v>23.795999999999999</v>
      </c>
      <c r="I142" s="15">
        <v>22.616</v>
      </c>
      <c r="J142" s="15">
        <v>25.681999999999999</v>
      </c>
      <c r="K142" s="15">
        <v>26.082000000000001</v>
      </c>
      <c r="L142" s="15">
        <v>25.812000000000001</v>
      </c>
      <c r="M142" s="15"/>
      <c r="N142" s="15"/>
      <c r="O142" s="15"/>
      <c r="P142" s="15" t="s">
        <v>113</v>
      </c>
      <c r="Q142" s="16">
        <f t="shared" ref="Q142" si="192">COUNTIF(C139:O139, "&gt;=0" )</f>
        <v>10</v>
      </c>
      <c r="S142" s="217"/>
      <c r="T142" s="217"/>
      <c r="U142" s="8" t="s">
        <v>100</v>
      </c>
      <c r="V142" s="15">
        <f t="shared" ref="V142:AH142" si="193">C142*C146</f>
        <v>5.375</v>
      </c>
      <c r="W142" s="15">
        <f t="shared" si="193"/>
        <v>6.3765000000000001</v>
      </c>
      <c r="X142" s="15">
        <f t="shared" si="193"/>
        <v>7.6669999999999998</v>
      </c>
      <c r="Y142" s="15">
        <f t="shared" si="193"/>
        <v>9.6475600000000004</v>
      </c>
      <c r="Z142" s="15">
        <f t="shared" si="193"/>
        <v>12.26064</v>
      </c>
      <c r="AA142" s="15">
        <f t="shared" si="193"/>
        <v>9.9943200000000001</v>
      </c>
      <c r="AB142" s="15">
        <f t="shared" si="193"/>
        <v>11.308</v>
      </c>
      <c r="AC142" s="15">
        <f t="shared" si="193"/>
        <v>12.840999999999999</v>
      </c>
      <c r="AD142" s="15">
        <f t="shared" si="193"/>
        <v>13.56264</v>
      </c>
      <c r="AE142" s="15">
        <f t="shared" si="193"/>
        <v>12.389760000000001</v>
      </c>
      <c r="AF142" s="15">
        <f t="shared" si="193"/>
        <v>0</v>
      </c>
      <c r="AG142" s="15">
        <f t="shared" si="193"/>
        <v>0</v>
      </c>
      <c r="AH142" s="15">
        <f t="shared" si="193"/>
        <v>0</v>
      </c>
      <c r="AI142" s="15">
        <f t="shared" ref="AI142" si="194">R142*R146</f>
        <v>0</v>
      </c>
      <c r="AJ142" s="23">
        <f>SUM(V142:AI142)</f>
        <v>101.42242</v>
      </c>
      <c r="AK142" s="2">
        <v>101.42242</v>
      </c>
    </row>
    <row r="143" spans="1:37" x14ac:dyDescent="0.3">
      <c r="A143" s="6"/>
      <c r="B143" s="2" t="s">
        <v>114</v>
      </c>
      <c r="C143" s="15">
        <v>10.75</v>
      </c>
      <c r="D143" s="15">
        <v>12.753</v>
      </c>
      <c r="E143" s="15">
        <v>15.193</v>
      </c>
      <c r="F143" s="15">
        <v>16.015000000000001</v>
      </c>
      <c r="G143" s="15">
        <v>18.113</v>
      </c>
      <c r="H143" s="15">
        <v>20.457999999999998</v>
      </c>
      <c r="I143" s="15">
        <v>19.535</v>
      </c>
      <c r="J143" s="15">
        <v>24.355999999999998</v>
      </c>
      <c r="K143" s="15">
        <v>25.597000000000001</v>
      </c>
      <c r="L143" s="15">
        <v>25.567</v>
      </c>
      <c r="M143" s="15"/>
      <c r="N143" s="15"/>
      <c r="O143" s="15"/>
      <c r="P143" s="15"/>
      <c r="Q143" s="15"/>
      <c r="S143" s="6"/>
      <c r="T143" s="6"/>
      <c r="U143" s="8" t="s">
        <v>101</v>
      </c>
      <c r="V143" s="15">
        <f t="shared" ref="V143:AH143" si="195">C143*C146</f>
        <v>5.375</v>
      </c>
      <c r="W143" s="15">
        <f t="shared" si="195"/>
        <v>6.3765000000000001</v>
      </c>
      <c r="X143" s="15">
        <f t="shared" si="195"/>
        <v>7.5964999999999998</v>
      </c>
      <c r="Y143" s="15">
        <f t="shared" si="195"/>
        <v>8.3277999999999999</v>
      </c>
      <c r="Z143" s="15">
        <f t="shared" si="195"/>
        <v>10.143280000000001</v>
      </c>
      <c r="AA143" s="15">
        <f t="shared" si="195"/>
        <v>8.5923599999999993</v>
      </c>
      <c r="AB143" s="15">
        <f t="shared" si="195"/>
        <v>9.7675000000000001</v>
      </c>
      <c r="AC143" s="15">
        <f t="shared" si="195"/>
        <v>12.177999999999999</v>
      </c>
      <c r="AD143" s="15">
        <f t="shared" si="195"/>
        <v>13.310440000000002</v>
      </c>
      <c r="AE143" s="15">
        <f t="shared" si="195"/>
        <v>12.27216</v>
      </c>
      <c r="AF143" s="15">
        <f t="shared" si="195"/>
        <v>0</v>
      </c>
      <c r="AG143" s="15">
        <f t="shared" si="195"/>
        <v>0</v>
      </c>
      <c r="AH143" s="15">
        <f t="shared" si="195"/>
        <v>0</v>
      </c>
      <c r="AI143" s="15">
        <f t="shared" ref="AI143" si="196">R143*R146</f>
        <v>0</v>
      </c>
      <c r="AJ143" s="23">
        <f>SUM(V143:AI143)</f>
        <v>93.939539999999994</v>
      </c>
      <c r="AK143" s="2">
        <v>93.939539999999994</v>
      </c>
    </row>
    <row r="144" spans="1:37" x14ac:dyDescent="0.3">
      <c r="A144" s="6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S144" s="6"/>
      <c r="T144" s="6"/>
      <c r="U144" s="24" t="s">
        <v>115</v>
      </c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19">
        <f>(AJ141-AJ142)/AJ141*100</f>
        <v>0.14624258744822044</v>
      </c>
      <c r="AK144" s="2">
        <v>0.14624258744822044</v>
      </c>
    </row>
    <row r="145" spans="1:37" x14ac:dyDescent="0.3">
      <c r="A145" s="6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S145" s="6"/>
      <c r="T145" s="6"/>
      <c r="U145" s="24" t="s">
        <v>103</v>
      </c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19">
        <f>AJ141-AJ143</f>
        <v>7.6314200000000056</v>
      </c>
      <c r="AK145" s="2">
        <v>7.6314200000000056</v>
      </c>
    </row>
    <row r="146" spans="1:37" ht="16.2" thickBot="1" x14ac:dyDescent="0.35">
      <c r="A146" s="6"/>
      <c r="B146" s="2" t="s">
        <v>32</v>
      </c>
      <c r="C146" s="15">
        <v>0.5</v>
      </c>
      <c r="D146" s="15">
        <v>0.5</v>
      </c>
      <c r="E146" s="15">
        <v>0.5</v>
      </c>
      <c r="F146" s="15">
        <v>0.52</v>
      </c>
      <c r="G146" s="15">
        <v>0.56000000000000005</v>
      </c>
      <c r="H146" s="15">
        <v>0.42</v>
      </c>
      <c r="I146" s="15">
        <v>0.5</v>
      </c>
      <c r="J146" s="15">
        <v>0.5</v>
      </c>
      <c r="K146" s="15">
        <v>0.52</v>
      </c>
      <c r="L146" s="15">
        <v>0.48</v>
      </c>
      <c r="M146" s="15"/>
      <c r="N146" s="15"/>
      <c r="O146" s="15"/>
      <c r="P146" s="15"/>
      <c r="Q146" s="15"/>
      <c r="R146" s="16"/>
      <c r="S146" s="6"/>
      <c r="T146" s="6"/>
      <c r="U146" s="8" t="s">
        <v>97</v>
      </c>
      <c r="V146" s="221" t="s">
        <v>134</v>
      </c>
      <c r="W146" s="221"/>
      <c r="X146" s="221"/>
      <c r="Y146" s="221"/>
      <c r="Z146" s="221"/>
      <c r="AA146" s="221"/>
      <c r="AB146" s="221"/>
      <c r="AC146" s="221"/>
      <c r="AD146" s="221"/>
      <c r="AE146" s="221"/>
      <c r="AF146" s="221"/>
      <c r="AG146" s="221"/>
      <c r="AH146" s="221"/>
      <c r="AI146" s="222"/>
      <c r="AJ146" s="26"/>
    </row>
    <row r="147" spans="1:37" ht="15.75" customHeight="1" x14ac:dyDescent="0.3">
      <c r="A147" s="216" t="s">
        <v>147</v>
      </c>
      <c r="B147" s="13" t="s">
        <v>98</v>
      </c>
      <c r="C147" s="14">
        <v>0</v>
      </c>
      <c r="D147" s="14">
        <v>0</v>
      </c>
      <c r="E147" s="14">
        <v>0.13700000000000001</v>
      </c>
      <c r="F147" s="14">
        <v>2.016</v>
      </c>
      <c r="G147" s="14">
        <v>2.7789999999999999</v>
      </c>
      <c r="H147" s="14">
        <v>2.9510000000000001</v>
      </c>
      <c r="I147" s="14">
        <v>2.5510000000000002</v>
      </c>
      <c r="J147" s="14">
        <v>1.8240000000000001</v>
      </c>
      <c r="K147" s="14">
        <v>1.43</v>
      </c>
      <c r="L147" s="14">
        <v>1.23</v>
      </c>
      <c r="M147" s="14">
        <v>1.036</v>
      </c>
      <c r="N147" s="14"/>
      <c r="O147" s="14"/>
      <c r="P147" s="15" t="s">
        <v>109</v>
      </c>
      <c r="Q147" s="16">
        <f t="shared" ref="Q147" si="197">COUNTIF(C147:N147, "&gt;0" )</f>
        <v>9</v>
      </c>
      <c r="S147" s="216" t="s">
        <v>147</v>
      </c>
      <c r="T147" s="216" t="s">
        <v>2</v>
      </c>
      <c r="U147" s="17" t="s">
        <v>98</v>
      </c>
      <c r="V147" s="18">
        <f t="shared" ref="V147:AH147" si="198">C147*C154</f>
        <v>0</v>
      </c>
      <c r="W147" s="18">
        <f t="shared" si="198"/>
        <v>0</v>
      </c>
      <c r="X147" s="18">
        <f t="shared" si="198"/>
        <v>6.0280000000000007E-2</v>
      </c>
      <c r="Y147" s="18">
        <f t="shared" si="198"/>
        <v>1.0886400000000001</v>
      </c>
      <c r="Z147" s="18">
        <f t="shared" si="198"/>
        <v>1.27834</v>
      </c>
      <c r="AA147" s="18">
        <f t="shared" si="198"/>
        <v>1.4755</v>
      </c>
      <c r="AB147" s="18">
        <f t="shared" si="198"/>
        <v>1.2755000000000001</v>
      </c>
      <c r="AC147" s="18">
        <f t="shared" si="198"/>
        <v>0.91200000000000003</v>
      </c>
      <c r="AD147" s="18">
        <f t="shared" si="198"/>
        <v>0.71499999999999997</v>
      </c>
      <c r="AE147" s="18">
        <f t="shared" si="198"/>
        <v>0.63960000000000006</v>
      </c>
      <c r="AF147" s="18">
        <f t="shared" si="198"/>
        <v>0.49728</v>
      </c>
      <c r="AG147" s="18">
        <f t="shared" si="198"/>
        <v>0</v>
      </c>
      <c r="AH147" s="18">
        <f t="shared" si="198"/>
        <v>0</v>
      </c>
      <c r="AI147" s="18">
        <f t="shared" ref="AI147" si="199">R147*R154</f>
        <v>0</v>
      </c>
      <c r="AJ147" s="19">
        <f>SUM(V147:AI147)</f>
        <v>7.9421400000000002</v>
      </c>
      <c r="AK147" s="2">
        <v>7.9421400000000002</v>
      </c>
    </row>
    <row r="148" spans="1:37" ht="15.75" customHeight="1" x14ac:dyDescent="0.3">
      <c r="A148" s="217"/>
      <c r="B148" s="2" t="s">
        <v>110</v>
      </c>
      <c r="C148" s="15"/>
      <c r="D148" s="15"/>
      <c r="E148" s="15" t="s">
        <v>111</v>
      </c>
      <c r="F148" s="15" t="s">
        <v>111</v>
      </c>
      <c r="G148" s="15" t="s">
        <v>111</v>
      </c>
      <c r="H148" s="15" t="s">
        <v>112</v>
      </c>
      <c r="I148" s="15" t="s">
        <v>111</v>
      </c>
      <c r="J148" s="15" t="s">
        <v>112</v>
      </c>
      <c r="K148" s="15" t="s">
        <v>112</v>
      </c>
      <c r="L148" s="15" t="s">
        <v>111</v>
      </c>
      <c r="M148" s="15" t="s">
        <v>111</v>
      </c>
      <c r="N148" s="15"/>
      <c r="O148" s="15"/>
      <c r="P148" s="15" t="s">
        <v>105</v>
      </c>
      <c r="Q148" s="15">
        <f t="shared" ref="Q148" si="200">COUNTIF(C148:N148,"Cortex")</f>
        <v>6</v>
      </c>
      <c r="S148" s="217"/>
      <c r="T148" s="217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23"/>
    </row>
    <row r="149" spans="1:37" ht="15.75" customHeight="1" x14ac:dyDescent="0.3">
      <c r="A149" s="217"/>
      <c r="B149" s="2" t="s">
        <v>99</v>
      </c>
      <c r="C149" s="15">
        <v>10.458</v>
      </c>
      <c r="D149" s="15">
        <v>14.478999999999999</v>
      </c>
      <c r="E149" s="15">
        <v>17.812000000000001</v>
      </c>
      <c r="F149" s="15">
        <v>22.093</v>
      </c>
      <c r="G149" s="15">
        <v>23.306000000000001</v>
      </c>
      <c r="H149" s="15">
        <v>25.094999999999999</v>
      </c>
      <c r="I149" s="15">
        <v>26.041</v>
      </c>
      <c r="J149" s="15">
        <v>26.007999999999999</v>
      </c>
      <c r="K149" s="15">
        <v>26.428999999999998</v>
      </c>
      <c r="L149" s="15">
        <v>26.838000000000001</v>
      </c>
      <c r="M149" s="15">
        <v>25.102</v>
      </c>
      <c r="N149" s="15"/>
      <c r="O149" s="15"/>
      <c r="P149" s="15" t="s">
        <v>106</v>
      </c>
      <c r="Q149" s="15">
        <f t="shared" ref="Q149" si="201">Q147-Q148</f>
        <v>3</v>
      </c>
      <c r="S149" s="217"/>
      <c r="T149" s="217"/>
      <c r="U149" s="8" t="s">
        <v>99</v>
      </c>
      <c r="V149" s="15">
        <f t="shared" ref="V149:AH149" si="202">C149*C154</f>
        <v>5.2290000000000001</v>
      </c>
      <c r="W149" s="15">
        <f t="shared" si="202"/>
        <v>8.1082400000000003</v>
      </c>
      <c r="X149" s="15">
        <f t="shared" si="202"/>
        <v>7.8372800000000007</v>
      </c>
      <c r="Y149" s="15">
        <f t="shared" si="202"/>
        <v>11.93022</v>
      </c>
      <c r="Z149" s="15">
        <f t="shared" si="202"/>
        <v>10.72076</v>
      </c>
      <c r="AA149" s="15">
        <f t="shared" si="202"/>
        <v>12.547499999999999</v>
      </c>
      <c r="AB149" s="15">
        <f t="shared" si="202"/>
        <v>13.0205</v>
      </c>
      <c r="AC149" s="15">
        <f t="shared" si="202"/>
        <v>13.004</v>
      </c>
      <c r="AD149" s="15">
        <f t="shared" si="202"/>
        <v>13.214499999999999</v>
      </c>
      <c r="AE149" s="15">
        <f t="shared" si="202"/>
        <v>13.955760000000001</v>
      </c>
      <c r="AF149" s="15">
        <f t="shared" si="202"/>
        <v>12.048959999999999</v>
      </c>
      <c r="AG149" s="15">
        <f t="shared" si="202"/>
        <v>0</v>
      </c>
      <c r="AH149" s="15">
        <f t="shared" si="202"/>
        <v>0</v>
      </c>
      <c r="AI149" s="15">
        <f t="shared" ref="AI149" si="203">R149*R154</f>
        <v>0</v>
      </c>
      <c r="AJ149" s="23">
        <f>SUM(V149:AI149)</f>
        <v>121.61672</v>
      </c>
      <c r="AK149" s="2">
        <v>121.61672</v>
      </c>
    </row>
    <row r="150" spans="1:37" ht="15.75" customHeight="1" x14ac:dyDescent="0.3">
      <c r="A150" s="217"/>
      <c r="B150" s="2" t="s">
        <v>100</v>
      </c>
      <c r="C150" s="15">
        <v>8.9710000000000001</v>
      </c>
      <c r="D150" s="15">
        <v>11.906000000000001</v>
      </c>
      <c r="E150" s="15">
        <v>17.503</v>
      </c>
      <c r="F150" s="15">
        <v>21.213000000000001</v>
      </c>
      <c r="G150" s="15">
        <v>22.234000000000002</v>
      </c>
      <c r="H150" s="15">
        <v>24.29</v>
      </c>
      <c r="I150" s="15">
        <v>25.31</v>
      </c>
      <c r="J150" s="15">
        <v>26.37</v>
      </c>
      <c r="K150" s="15">
        <v>26.866</v>
      </c>
      <c r="L150" s="15">
        <v>27.059000000000001</v>
      </c>
      <c r="M150" s="15">
        <v>26.532</v>
      </c>
      <c r="N150" s="15"/>
      <c r="O150" s="15"/>
      <c r="P150" s="15" t="s">
        <v>113</v>
      </c>
      <c r="Q150" s="16">
        <f t="shared" ref="Q150" si="204">COUNTIF(C147:O147, "&gt;=0" )</f>
        <v>11</v>
      </c>
      <c r="S150" s="217"/>
      <c r="T150" s="217"/>
      <c r="U150" s="8" t="s">
        <v>100</v>
      </c>
      <c r="V150" s="15">
        <f t="shared" ref="V150:AH150" si="205">C150*C154</f>
        <v>4.4855</v>
      </c>
      <c r="W150" s="15">
        <f t="shared" si="205"/>
        <v>6.6673600000000013</v>
      </c>
      <c r="X150" s="15">
        <f t="shared" si="205"/>
        <v>7.7013199999999999</v>
      </c>
      <c r="Y150" s="15">
        <f t="shared" si="205"/>
        <v>11.455020000000001</v>
      </c>
      <c r="Z150" s="15">
        <f t="shared" si="205"/>
        <v>10.227640000000001</v>
      </c>
      <c r="AA150" s="15">
        <f t="shared" si="205"/>
        <v>12.145</v>
      </c>
      <c r="AB150" s="15">
        <f t="shared" si="205"/>
        <v>12.654999999999999</v>
      </c>
      <c r="AC150" s="15">
        <f t="shared" si="205"/>
        <v>13.185</v>
      </c>
      <c r="AD150" s="15">
        <f t="shared" si="205"/>
        <v>13.433</v>
      </c>
      <c r="AE150" s="15">
        <f t="shared" si="205"/>
        <v>14.070680000000001</v>
      </c>
      <c r="AF150" s="15">
        <f t="shared" si="205"/>
        <v>12.73536</v>
      </c>
      <c r="AG150" s="15">
        <f t="shared" si="205"/>
        <v>0</v>
      </c>
      <c r="AH150" s="15">
        <f t="shared" si="205"/>
        <v>0</v>
      </c>
      <c r="AI150" s="15">
        <f t="shared" ref="AI150" si="206">R150*R154</f>
        <v>0</v>
      </c>
      <c r="AJ150" s="23">
        <f>SUM(V150:AI150)</f>
        <v>118.76087999999999</v>
      </c>
      <c r="AK150" s="2">
        <v>118.76087999999999</v>
      </c>
    </row>
    <row r="151" spans="1:37" x14ac:dyDescent="0.3">
      <c r="A151" s="6"/>
      <c r="B151" s="2" t="s">
        <v>114</v>
      </c>
      <c r="C151" s="15">
        <v>8.9710000000000001</v>
      </c>
      <c r="D151" s="15">
        <v>11.906000000000001</v>
      </c>
      <c r="E151" s="15">
        <v>17.366</v>
      </c>
      <c r="F151" s="15">
        <v>19.197000000000003</v>
      </c>
      <c r="G151" s="15">
        <v>19.455000000000002</v>
      </c>
      <c r="H151" s="15">
        <v>21.338999999999999</v>
      </c>
      <c r="I151" s="15">
        <v>22.759</v>
      </c>
      <c r="J151" s="15">
        <v>24.545999999999999</v>
      </c>
      <c r="K151" s="15">
        <v>25.436</v>
      </c>
      <c r="L151" s="15">
        <v>25.829000000000001</v>
      </c>
      <c r="M151" s="15">
        <v>25.495999999999999</v>
      </c>
      <c r="N151" s="15"/>
      <c r="O151" s="15"/>
      <c r="P151" s="15"/>
      <c r="Q151" s="15"/>
      <c r="S151" s="6"/>
      <c r="T151" s="6"/>
      <c r="U151" s="8" t="s">
        <v>101</v>
      </c>
      <c r="V151" s="15">
        <f t="shared" ref="V151:AH151" si="207">C151*C154</f>
        <v>4.4855</v>
      </c>
      <c r="W151" s="15">
        <f t="shared" si="207"/>
        <v>6.6673600000000013</v>
      </c>
      <c r="X151" s="15">
        <f t="shared" si="207"/>
        <v>7.6410400000000003</v>
      </c>
      <c r="Y151" s="15">
        <f t="shared" si="207"/>
        <v>10.366380000000003</v>
      </c>
      <c r="Z151" s="15">
        <f t="shared" si="207"/>
        <v>8.9493000000000009</v>
      </c>
      <c r="AA151" s="15">
        <f t="shared" si="207"/>
        <v>10.669499999999999</v>
      </c>
      <c r="AB151" s="15">
        <f t="shared" si="207"/>
        <v>11.3795</v>
      </c>
      <c r="AC151" s="15">
        <f t="shared" si="207"/>
        <v>12.273</v>
      </c>
      <c r="AD151" s="15">
        <f t="shared" si="207"/>
        <v>12.718</v>
      </c>
      <c r="AE151" s="15">
        <f t="shared" si="207"/>
        <v>13.431080000000001</v>
      </c>
      <c r="AF151" s="15">
        <f t="shared" si="207"/>
        <v>12.238079999999998</v>
      </c>
      <c r="AG151" s="15">
        <f t="shared" si="207"/>
        <v>0</v>
      </c>
      <c r="AH151" s="15">
        <f t="shared" si="207"/>
        <v>0</v>
      </c>
      <c r="AI151" s="15">
        <f t="shared" ref="AI151" si="208">R151*R154</f>
        <v>0</v>
      </c>
      <c r="AJ151" s="23">
        <f>SUM(V151:AI151)</f>
        <v>110.81874000000002</v>
      </c>
      <c r="AK151" s="2">
        <v>110.81874000000002</v>
      </c>
    </row>
    <row r="152" spans="1:37" x14ac:dyDescent="0.3">
      <c r="A152" s="6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S152" s="6"/>
      <c r="T152" s="6"/>
      <c r="U152" s="24" t="s">
        <v>115</v>
      </c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19">
        <f>(AJ149-AJ150)/AJ149*100</f>
        <v>2.3482297499883362</v>
      </c>
      <c r="AK152" s="2">
        <v>2.3482297499883362</v>
      </c>
    </row>
    <row r="153" spans="1:37" x14ac:dyDescent="0.3">
      <c r="A153" s="6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S153" s="6"/>
      <c r="T153" s="6"/>
      <c r="U153" s="24" t="s">
        <v>103</v>
      </c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19">
        <f>AJ149-AJ151</f>
        <v>10.797979999999981</v>
      </c>
      <c r="AK153" s="2">
        <v>10.797979999999981</v>
      </c>
    </row>
    <row r="154" spans="1:37" ht="16.2" thickBot="1" x14ac:dyDescent="0.35">
      <c r="A154" s="6"/>
      <c r="B154" s="2" t="s">
        <v>32</v>
      </c>
      <c r="C154" s="15">
        <v>0.5</v>
      </c>
      <c r="D154" s="15">
        <v>0.56000000000000005</v>
      </c>
      <c r="E154" s="15">
        <v>0.44</v>
      </c>
      <c r="F154" s="15">
        <v>0.54</v>
      </c>
      <c r="G154" s="15">
        <v>0.46</v>
      </c>
      <c r="H154" s="15">
        <v>0.5</v>
      </c>
      <c r="I154" s="15">
        <v>0.5</v>
      </c>
      <c r="J154" s="15">
        <v>0.5</v>
      </c>
      <c r="K154" s="15">
        <v>0.5</v>
      </c>
      <c r="L154" s="15">
        <v>0.52</v>
      </c>
      <c r="M154" s="15">
        <v>0.48</v>
      </c>
      <c r="N154" s="15"/>
      <c r="O154" s="15"/>
      <c r="P154" s="15"/>
      <c r="Q154" s="15"/>
      <c r="R154" s="16"/>
      <c r="S154" s="6"/>
      <c r="T154" s="6"/>
      <c r="U154" s="8" t="s">
        <v>97</v>
      </c>
      <c r="V154" s="219"/>
      <c r="W154" s="219"/>
      <c r="X154" s="219"/>
      <c r="Y154" s="219"/>
      <c r="Z154" s="219"/>
      <c r="AA154" s="219"/>
      <c r="AB154" s="219"/>
      <c r="AC154" s="219"/>
      <c r="AD154" s="219"/>
      <c r="AE154" s="219"/>
      <c r="AF154" s="219"/>
      <c r="AG154" s="219"/>
      <c r="AH154" s="219"/>
      <c r="AI154" s="220"/>
      <c r="AJ154" s="26"/>
    </row>
    <row r="155" spans="1:37" ht="15.75" customHeight="1" x14ac:dyDescent="0.3">
      <c r="A155" s="216" t="s">
        <v>148</v>
      </c>
      <c r="B155" s="13" t="s">
        <v>98</v>
      </c>
      <c r="C155" s="14">
        <v>0.755</v>
      </c>
      <c r="D155" s="14">
        <v>1.861</v>
      </c>
      <c r="E155" s="14">
        <v>3.0190000000000001</v>
      </c>
      <c r="F155" s="14">
        <v>3.5259999999999998</v>
      </c>
      <c r="G155" s="14">
        <v>3.5019999999999998</v>
      </c>
      <c r="H155" s="14">
        <v>3.3119999999999998</v>
      </c>
      <c r="I155" s="14">
        <v>3.5310000000000001</v>
      </c>
      <c r="J155" s="14">
        <v>4.4880000000000004</v>
      </c>
      <c r="K155" s="14">
        <v>3.9239999999999999</v>
      </c>
      <c r="L155" s="14">
        <v>2.1789999999999998</v>
      </c>
      <c r="M155" s="14">
        <v>0.30499999999999999</v>
      </c>
      <c r="N155" s="14"/>
      <c r="O155" s="14"/>
      <c r="P155" s="15" t="s">
        <v>109</v>
      </c>
      <c r="Q155" s="16">
        <f t="shared" ref="Q155" si="209">COUNTIF(C155:N155, "&gt;0" )</f>
        <v>11</v>
      </c>
      <c r="S155" s="216" t="s">
        <v>148</v>
      </c>
      <c r="T155" s="216" t="s">
        <v>2</v>
      </c>
      <c r="U155" s="17" t="s">
        <v>98</v>
      </c>
      <c r="V155" s="18">
        <f t="shared" ref="V155:AH155" si="210">C155*C162</f>
        <v>0.3775</v>
      </c>
      <c r="W155" s="18">
        <f t="shared" si="210"/>
        <v>1.0049400000000002</v>
      </c>
      <c r="X155" s="18">
        <f t="shared" si="210"/>
        <v>1.3887400000000001</v>
      </c>
      <c r="Y155" s="18">
        <f t="shared" si="210"/>
        <v>1.7629999999999999</v>
      </c>
      <c r="Z155" s="18">
        <f t="shared" si="210"/>
        <v>1.82104</v>
      </c>
      <c r="AA155" s="18">
        <f t="shared" si="210"/>
        <v>1.6559999999999999</v>
      </c>
      <c r="AB155" s="18">
        <f t="shared" si="210"/>
        <v>1.6948799999999999</v>
      </c>
      <c r="AC155" s="18">
        <f t="shared" si="210"/>
        <v>2.2440000000000002</v>
      </c>
      <c r="AD155" s="18">
        <f t="shared" si="210"/>
        <v>2.0404800000000001</v>
      </c>
      <c r="AE155" s="18">
        <f t="shared" si="210"/>
        <v>1.0894999999999999</v>
      </c>
      <c r="AF155" s="18">
        <f t="shared" si="210"/>
        <v>0.1525</v>
      </c>
      <c r="AG155" s="18">
        <f t="shared" si="210"/>
        <v>0</v>
      </c>
      <c r="AH155" s="18">
        <f t="shared" si="210"/>
        <v>0</v>
      </c>
      <c r="AI155" s="18">
        <f t="shared" ref="AI155" si="211">R155*R162</f>
        <v>0</v>
      </c>
      <c r="AJ155" s="19">
        <f>SUM(V155:AI155)</f>
        <v>15.232579999999999</v>
      </c>
      <c r="AK155" s="2">
        <v>15.232579999999999</v>
      </c>
    </row>
    <row r="156" spans="1:37" ht="15.75" customHeight="1" x14ac:dyDescent="0.3">
      <c r="A156" s="217"/>
      <c r="B156" s="2" t="s">
        <v>110</v>
      </c>
      <c r="C156" s="15" t="s">
        <v>111</v>
      </c>
      <c r="D156" s="15" t="s">
        <v>111</v>
      </c>
      <c r="E156" s="15" t="s">
        <v>111</v>
      </c>
      <c r="F156" s="15" t="s">
        <v>111</v>
      </c>
      <c r="G156" s="15" t="s">
        <v>136</v>
      </c>
      <c r="H156" s="15" t="s">
        <v>136</v>
      </c>
      <c r="I156" s="15" t="s">
        <v>136</v>
      </c>
      <c r="J156" s="15" t="s">
        <v>136</v>
      </c>
      <c r="K156" s="15" t="s">
        <v>111</v>
      </c>
      <c r="L156" s="15" t="s">
        <v>111</v>
      </c>
      <c r="M156" s="15" t="s">
        <v>111</v>
      </c>
      <c r="N156" s="15"/>
      <c r="O156" s="15"/>
      <c r="P156" s="15" t="s">
        <v>105</v>
      </c>
      <c r="Q156" s="15">
        <f t="shared" ref="Q156" si="212">COUNTIF(C156:N156,"Cortex")</f>
        <v>7</v>
      </c>
      <c r="S156" s="217"/>
      <c r="T156" s="217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23"/>
    </row>
    <row r="157" spans="1:37" ht="15.75" customHeight="1" x14ac:dyDescent="0.3">
      <c r="A157" s="217"/>
      <c r="B157" s="2" t="s">
        <v>99</v>
      </c>
      <c r="C157" s="15">
        <v>9.9</v>
      </c>
      <c r="D157" s="15">
        <v>10.92</v>
      </c>
      <c r="E157" s="15">
        <v>15.041</v>
      </c>
      <c r="F157" s="15">
        <v>16.736000000000001</v>
      </c>
      <c r="G157" s="15">
        <v>18.224</v>
      </c>
      <c r="H157" s="15">
        <v>20.646000000000001</v>
      </c>
      <c r="I157" s="15">
        <v>22.69</v>
      </c>
      <c r="J157" s="15">
        <v>23.213000000000001</v>
      </c>
      <c r="K157" s="15">
        <v>23.978000000000002</v>
      </c>
      <c r="L157" s="15">
        <v>23.61</v>
      </c>
      <c r="M157" s="15">
        <v>24.539000000000001</v>
      </c>
      <c r="N157" s="15"/>
      <c r="O157" s="15"/>
      <c r="P157" s="15" t="s">
        <v>106</v>
      </c>
      <c r="Q157" s="15">
        <f t="shared" ref="Q157" si="213">Q155-Q156</f>
        <v>4</v>
      </c>
      <c r="S157" s="217"/>
      <c r="T157" s="217"/>
      <c r="U157" s="8" t="s">
        <v>99</v>
      </c>
      <c r="V157" s="15">
        <f t="shared" ref="V157:AH157" si="214">C157*C162</f>
        <v>4.95</v>
      </c>
      <c r="W157" s="15">
        <f t="shared" si="214"/>
        <v>5.8968000000000007</v>
      </c>
      <c r="X157" s="15">
        <f t="shared" si="214"/>
        <v>6.9188600000000005</v>
      </c>
      <c r="Y157" s="15">
        <f t="shared" si="214"/>
        <v>8.3680000000000003</v>
      </c>
      <c r="Z157" s="15">
        <f t="shared" si="214"/>
        <v>9.4764800000000005</v>
      </c>
      <c r="AA157" s="15">
        <f t="shared" si="214"/>
        <v>10.323</v>
      </c>
      <c r="AB157" s="15">
        <f t="shared" si="214"/>
        <v>10.8912</v>
      </c>
      <c r="AC157" s="15">
        <f t="shared" si="214"/>
        <v>11.6065</v>
      </c>
      <c r="AD157" s="15">
        <f t="shared" si="214"/>
        <v>12.468560000000002</v>
      </c>
      <c r="AE157" s="15">
        <f t="shared" si="214"/>
        <v>11.805</v>
      </c>
      <c r="AF157" s="15">
        <f t="shared" si="214"/>
        <v>12.269500000000001</v>
      </c>
      <c r="AG157" s="15">
        <f t="shared" si="214"/>
        <v>0</v>
      </c>
      <c r="AH157" s="15">
        <f t="shared" si="214"/>
        <v>0</v>
      </c>
      <c r="AI157" s="15">
        <f t="shared" ref="AI157" si="215">R157*R162</f>
        <v>0</v>
      </c>
      <c r="AJ157" s="23">
        <f>SUM(V157:AI157)</f>
        <v>104.97389999999999</v>
      </c>
      <c r="AK157" s="2">
        <v>104.97389999999999</v>
      </c>
    </row>
    <row r="158" spans="1:37" ht="15.75" customHeight="1" x14ac:dyDescent="0.3">
      <c r="A158" s="217"/>
      <c r="B158" s="2" t="s">
        <v>100</v>
      </c>
      <c r="C158" s="15">
        <v>8.7309999999999999</v>
      </c>
      <c r="D158" s="15">
        <v>12.888</v>
      </c>
      <c r="E158" s="15">
        <v>13.35</v>
      </c>
      <c r="F158" s="15">
        <v>15.805</v>
      </c>
      <c r="G158" s="15">
        <v>17.803999999999998</v>
      </c>
      <c r="H158" s="15">
        <v>19.72</v>
      </c>
      <c r="I158" s="15">
        <v>22.971</v>
      </c>
      <c r="J158" s="15">
        <v>23.913</v>
      </c>
      <c r="K158" s="15">
        <v>25.106000000000002</v>
      </c>
      <c r="L158" s="15">
        <v>25.388000000000002</v>
      </c>
      <c r="M158" s="15">
        <v>25.739000000000001</v>
      </c>
      <c r="N158" s="15"/>
      <c r="O158" s="15"/>
      <c r="P158" s="15" t="s">
        <v>113</v>
      </c>
      <c r="Q158" s="16">
        <f t="shared" ref="Q158" si="216">COUNTIF(C155:O155, "&gt;=0" )</f>
        <v>11</v>
      </c>
      <c r="S158" s="217"/>
      <c r="T158" s="217"/>
      <c r="U158" s="8" t="s">
        <v>100</v>
      </c>
      <c r="V158" s="15">
        <f t="shared" ref="V158:AH158" si="217">C158*C162</f>
        <v>4.3654999999999999</v>
      </c>
      <c r="W158" s="15">
        <f t="shared" si="217"/>
        <v>6.9595200000000004</v>
      </c>
      <c r="X158" s="15">
        <f t="shared" si="217"/>
        <v>6.141</v>
      </c>
      <c r="Y158" s="15">
        <f t="shared" si="217"/>
        <v>7.9024999999999999</v>
      </c>
      <c r="Z158" s="15">
        <f t="shared" si="217"/>
        <v>9.2580799999999996</v>
      </c>
      <c r="AA158" s="15">
        <f t="shared" si="217"/>
        <v>9.86</v>
      </c>
      <c r="AB158" s="15">
        <f t="shared" si="217"/>
        <v>11.02608</v>
      </c>
      <c r="AC158" s="15">
        <f t="shared" si="217"/>
        <v>11.9565</v>
      </c>
      <c r="AD158" s="15">
        <f t="shared" si="217"/>
        <v>13.055120000000001</v>
      </c>
      <c r="AE158" s="15">
        <f t="shared" si="217"/>
        <v>12.694000000000001</v>
      </c>
      <c r="AF158" s="15">
        <f t="shared" si="217"/>
        <v>12.8695</v>
      </c>
      <c r="AG158" s="15">
        <f t="shared" si="217"/>
        <v>0</v>
      </c>
      <c r="AH158" s="15">
        <f t="shared" si="217"/>
        <v>0</v>
      </c>
      <c r="AI158" s="15">
        <f t="shared" ref="AI158" si="218">R158*R162</f>
        <v>0</v>
      </c>
      <c r="AJ158" s="23">
        <f>SUM(V158:AI158)</f>
        <v>106.0878</v>
      </c>
      <c r="AK158" s="2">
        <v>106.0878</v>
      </c>
    </row>
    <row r="159" spans="1:37" x14ac:dyDescent="0.3">
      <c r="A159" s="6"/>
      <c r="B159" s="2" t="s">
        <v>114</v>
      </c>
      <c r="C159" s="15">
        <v>7.976</v>
      </c>
      <c r="D159" s="15">
        <v>11.026999999999999</v>
      </c>
      <c r="E159" s="15">
        <v>10.331</v>
      </c>
      <c r="F159" s="15">
        <v>12.279</v>
      </c>
      <c r="G159" s="15">
        <v>14.302</v>
      </c>
      <c r="H159" s="15">
        <v>16.407999999999998</v>
      </c>
      <c r="I159" s="15">
        <v>19.440000000000001</v>
      </c>
      <c r="J159" s="15">
        <v>19.425000000000001</v>
      </c>
      <c r="K159" s="15">
        <v>21.182000000000002</v>
      </c>
      <c r="L159" s="15">
        <v>23.209000000000003</v>
      </c>
      <c r="M159" s="15">
        <v>25.434000000000001</v>
      </c>
      <c r="N159" s="15"/>
      <c r="O159" s="15"/>
      <c r="P159" s="15"/>
      <c r="Q159" s="15"/>
      <c r="S159" s="6"/>
      <c r="T159" s="6"/>
      <c r="U159" s="8" t="s">
        <v>101</v>
      </c>
      <c r="V159" s="15">
        <f t="shared" ref="V159:AH159" si="219">C159*C162</f>
        <v>3.988</v>
      </c>
      <c r="W159" s="15">
        <f t="shared" si="219"/>
        <v>5.95458</v>
      </c>
      <c r="X159" s="15">
        <f t="shared" si="219"/>
        <v>4.7522599999999997</v>
      </c>
      <c r="Y159" s="15">
        <f t="shared" si="219"/>
        <v>6.1395</v>
      </c>
      <c r="Z159" s="15">
        <f t="shared" si="219"/>
        <v>7.4370399999999997</v>
      </c>
      <c r="AA159" s="15">
        <f t="shared" si="219"/>
        <v>8.2039999999999988</v>
      </c>
      <c r="AB159" s="15">
        <f t="shared" si="219"/>
        <v>9.3312000000000008</v>
      </c>
      <c r="AC159" s="15">
        <f t="shared" si="219"/>
        <v>9.7125000000000004</v>
      </c>
      <c r="AD159" s="15">
        <f t="shared" si="219"/>
        <v>11.014640000000002</v>
      </c>
      <c r="AE159" s="15">
        <f t="shared" si="219"/>
        <v>11.604500000000002</v>
      </c>
      <c r="AF159" s="15">
        <f t="shared" si="219"/>
        <v>12.717000000000001</v>
      </c>
      <c r="AG159" s="15">
        <f t="shared" si="219"/>
        <v>0</v>
      </c>
      <c r="AH159" s="15">
        <f t="shared" si="219"/>
        <v>0</v>
      </c>
      <c r="AI159" s="15">
        <f t="shared" ref="AI159" si="220">R159*R162</f>
        <v>0</v>
      </c>
      <c r="AJ159" s="23">
        <f>SUM(V159:AI159)</f>
        <v>90.855220000000003</v>
      </c>
      <c r="AK159" s="2">
        <v>90.855220000000003</v>
      </c>
    </row>
    <row r="160" spans="1:37" x14ac:dyDescent="0.3">
      <c r="A160" s="6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S160" s="6"/>
      <c r="T160" s="6"/>
      <c r="U160" s="24" t="s">
        <v>115</v>
      </c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19">
        <f>(AJ157-AJ158)/AJ157*100</f>
        <v>-1.0611209071969465</v>
      </c>
      <c r="AK160" s="2">
        <v>-1.0611209071969465</v>
      </c>
    </row>
    <row r="161" spans="1:37" x14ac:dyDescent="0.3">
      <c r="A161" s="6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S161" s="6"/>
      <c r="T161" s="6"/>
      <c r="U161" s="24" t="s">
        <v>103</v>
      </c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19">
        <f>AJ157-AJ159</f>
        <v>14.118679999999983</v>
      </c>
      <c r="AK161" s="2">
        <v>14.118679999999983</v>
      </c>
    </row>
    <row r="162" spans="1:37" ht="16.2" thickBot="1" x14ac:dyDescent="0.35">
      <c r="A162" s="6"/>
      <c r="B162" s="2" t="s">
        <v>32</v>
      </c>
      <c r="C162" s="15">
        <v>0.5</v>
      </c>
      <c r="D162" s="15">
        <v>0.54</v>
      </c>
      <c r="E162" s="15">
        <v>0.46</v>
      </c>
      <c r="F162" s="15">
        <v>0.5</v>
      </c>
      <c r="G162" s="15">
        <v>0.52</v>
      </c>
      <c r="H162" s="15">
        <v>0.5</v>
      </c>
      <c r="I162" s="15">
        <v>0.48</v>
      </c>
      <c r="J162" s="15">
        <v>0.5</v>
      </c>
      <c r="K162" s="15">
        <v>0.52</v>
      </c>
      <c r="L162" s="15">
        <v>0.5</v>
      </c>
      <c r="M162" s="15">
        <v>0.5</v>
      </c>
      <c r="N162" s="15"/>
      <c r="O162" s="15"/>
      <c r="P162" s="15"/>
      <c r="Q162" s="15"/>
      <c r="R162" s="16"/>
      <c r="S162" s="6"/>
      <c r="T162" s="6"/>
      <c r="U162" s="8" t="s">
        <v>97</v>
      </c>
      <c r="V162" s="219"/>
      <c r="W162" s="219"/>
      <c r="X162" s="219"/>
      <c r="Y162" s="219"/>
      <c r="Z162" s="219"/>
      <c r="AA162" s="219"/>
      <c r="AB162" s="219"/>
      <c r="AC162" s="219"/>
      <c r="AD162" s="219"/>
      <c r="AE162" s="219"/>
      <c r="AF162" s="219"/>
      <c r="AG162" s="219"/>
      <c r="AH162" s="219"/>
      <c r="AI162" s="220"/>
      <c r="AJ162" s="26"/>
    </row>
    <row r="163" spans="1:37" ht="15.75" customHeight="1" x14ac:dyDescent="0.3">
      <c r="A163" s="216" t="s">
        <v>149</v>
      </c>
      <c r="B163" s="13" t="s">
        <v>98</v>
      </c>
      <c r="C163" s="14">
        <v>0.38900000000000001</v>
      </c>
      <c r="D163" s="14">
        <v>2.2530000000000001</v>
      </c>
      <c r="E163" s="14">
        <v>2.7749999999999999</v>
      </c>
      <c r="F163" s="14">
        <v>2.7610000000000001</v>
      </c>
      <c r="G163" s="14">
        <v>3.44</v>
      </c>
      <c r="H163" s="14">
        <v>3.8809999999999998</v>
      </c>
      <c r="I163" s="14">
        <v>2.0680000000000001</v>
      </c>
      <c r="J163" s="14">
        <v>1.857</v>
      </c>
      <c r="K163" s="14">
        <v>0.876</v>
      </c>
      <c r="L163" s="14"/>
      <c r="M163" s="14"/>
      <c r="N163" s="14"/>
      <c r="O163" s="14"/>
      <c r="P163" s="15" t="s">
        <v>109</v>
      </c>
      <c r="Q163" s="16">
        <f t="shared" ref="Q163" si="221">COUNTIF(C163:N163, "&gt;0" )</f>
        <v>9</v>
      </c>
      <c r="S163" s="216" t="s">
        <v>149</v>
      </c>
      <c r="T163" s="216" t="s">
        <v>2</v>
      </c>
      <c r="U163" s="17" t="s">
        <v>98</v>
      </c>
      <c r="V163" s="18">
        <f t="shared" ref="V163:AH163" si="222">C163*C170</f>
        <v>0.19450000000000001</v>
      </c>
      <c r="W163" s="18">
        <f t="shared" si="222"/>
        <v>1.08144</v>
      </c>
      <c r="X163" s="18">
        <f t="shared" si="222"/>
        <v>1.4430000000000001</v>
      </c>
      <c r="Y163" s="18">
        <f t="shared" si="222"/>
        <v>1.3805000000000001</v>
      </c>
      <c r="Z163" s="18">
        <f t="shared" si="222"/>
        <v>1.7887999999999999</v>
      </c>
      <c r="AA163" s="18">
        <f t="shared" si="222"/>
        <v>1.7852600000000001</v>
      </c>
      <c r="AB163" s="18">
        <f t="shared" si="222"/>
        <v>1.034</v>
      </c>
      <c r="AC163" s="18">
        <f t="shared" si="222"/>
        <v>0.96564000000000005</v>
      </c>
      <c r="AD163" s="18">
        <f t="shared" si="222"/>
        <v>0.42047999999999996</v>
      </c>
      <c r="AE163" s="18">
        <f t="shared" si="222"/>
        <v>0</v>
      </c>
      <c r="AF163" s="18">
        <f t="shared" si="222"/>
        <v>0</v>
      </c>
      <c r="AG163" s="18">
        <f t="shared" si="222"/>
        <v>0</v>
      </c>
      <c r="AH163" s="18">
        <f t="shared" si="222"/>
        <v>0</v>
      </c>
      <c r="AI163" s="18">
        <f t="shared" ref="AI163" si="223">R163*R170</f>
        <v>0</v>
      </c>
      <c r="AJ163" s="19">
        <f>SUM(V163:AI163)</f>
        <v>10.09362</v>
      </c>
      <c r="AK163" s="2">
        <v>10.09362</v>
      </c>
    </row>
    <row r="164" spans="1:37" ht="15.75" customHeight="1" x14ac:dyDescent="0.3">
      <c r="A164" s="217"/>
      <c r="B164" s="2" t="s">
        <v>110</v>
      </c>
      <c r="C164" s="15" t="s">
        <v>111</v>
      </c>
      <c r="D164" s="15" t="s">
        <v>111</v>
      </c>
      <c r="E164" s="15" t="s">
        <v>112</v>
      </c>
      <c r="F164" s="15" t="s">
        <v>112</v>
      </c>
      <c r="G164" s="15" t="s">
        <v>131</v>
      </c>
      <c r="H164" s="15" t="s">
        <v>112</v>
      </c>
      <c r="I164" s="15" t="s">
        <v>112</v>
      </c>
      <c r="J164" s="15" t="s">
        <v>111</v>
      </c>
      <c r="K164" s="15" t="s">
        <v>111</v>
      </c>
      <c r="L164" s="15"/>
      <c r="M164" s="15"/>
      <c r="N164" s="15"/>
      <c r="O164" s="15"/>
      <c r="P164" s="15" t="s">
        <v>105</v>
      </c>
      <c r="Q164" s="15">
        <f t="shared" ref="Q164" si="224">COUNTIF(C164:N164,"Cortex")</f>
        <v>4</v>
      </c>
      <c r="S164" s="217"/>
      <c r="T164" s="217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23"/>
    </row>
    <row r="165" spans="1:37" ht="15.75" customHeight="1" x14ac:dyDescent="0.3">
      <c r="A165" s="217"/>
      <c r="B165" s="2" t="s">
        <v>99</v>
      </c>
      <c r="C165" s="15">
        <v>10.276999999999999</v>
      </c>
      <c r="D165" s="15">
        <v>14.03</v>
      </c>
      <c r="E165" s="15">
        <v>16.876999999999999</v>
      </c>
      <c r="F165" s="15">
        <v>18.18</v>
      </c>
      <c r="G165" s="15">
        <v>21.47</v>
      </c>
      <c r="H165" s="15">
        <v>22.48</v>
      </c>
      <c r="I165" s="15">
        <v>23.01</v>
      </c>
      <c r="J165" s="15">
        <v>24.561</v>
      </c>
      <c r="K165" s="15">
        <v>23.618000000000002</v>
      </c>
      <c r="L165" s="15"/>
      <c r="M165" s="15"/>
      <c r="N165" s="15"/>
      <c r="O165" s="15"/>
      <c r="P165" s="15" t="s">
        <v>106</v>
      </c>
      <c r="Q165" s="15">
        <f t="shared" ref="Q165" si="225">Q163-Q164</f>
        <v>5</v>
      </c>
      <c r="S165" s="217"/>
      <c r="T165" s="217"/>
      <c r="U165" s="8" t="s">
        <v>99</v>
      </c>
      <c r="V165" s="15">
        <f t="shared" ref="V165:AH165" si="226">C165*C170</f>
        <v>5.1384999999999996</v>
      </c>
      <c r="W165" s="15">
        <f t="shared" si="226"/>
        <v>6.7343999999999991</v>
      </c>
      <c r="X165" s="15">
        <f t="shared" si="226"/>
        <v>8.7760400000000001</v>
      </c>
      <c r="Y165" s="15">
        <f t="shared" si="226"/>
        <v>9.09</v>
      </c>
      <c r="Z165" s="15">
        <f t="shared" si="226"/>
        <v>11.164400000000001</v>
      </c>
      <c r="AA165" s="15">
        <f t="shared" si="226"/>
        <v>10.3408</v>
      </c>
      <c r="AB165" s="15">
        <f t="shared" si="226"/>
        <v>11.505000000000001</v>
      </c>
      <c r="AC165" s="15">
        <f t="shared" si="226"/>
        <v>12.77172</v>
      </c>
      <c r="AD165" s="15">
        <f t="shared" si="226"/>
        <v>11.336640000000001</v>
      </c>
      <c r="AE165" s="15">
        <f t="shared" si="226"/>
        <v>0</v>
      </c>
      <c r="AF165" s="15">
        <f t="shared" si="226"/>
        <v>0</v>
      </c>
      <c r="AG165" s="15">
        <f t="shared" si="226"/>
        <v>0</v>
      </c>
      <c r="AH165" s="15">
        <f t="shared" si="226"/>
        <v>0</v>
      </c>
      <c r="AI165" s="15">
        <f t="shared" ref="AI165" si="227">R165*R170</f>
        <v>0</v>
      </c>
      <c r="AJ165" s="23">
        <f>SUM(V165:AI165)</f>
        <v>86.857500000000002</v>
      </c>
      <c r="AK165" s="2">
        <v>86.857500000000002</v>
      </c>
    </row>
    <row r="166" spans="1:37" ht="15.75" customHeight="1" x14ac:dyDescent="0.3">
      <c r="A166" s="217"/>
      <c r="B166" s="2" t="s">
        <v>100</v>
      </c>
      <c r="C166" s="15">
        <v>10.153</v>
      </c>
      <c r="D166" s="15">
        <v>12.747</v>
      </c>
      <c r="E166" s="15">
        <v>15.43</v>
      </c>
      <c r="F166" s="15">
        <v>17.579000000000001</v>
      </c>
      <c r="G166" s="15">
        <v>19.442</v>
      </c>
      <c r="H166" s="15">
        <v>21.412000000000003</v>
      </c>
      <c r="I166" s="15">
        <v>22.533000000000001</v>
      </c>
      <c r="J166" s="15">
        <v>23.932000000000002</v>
      </c>
      <c r="K166" s="15">
        <v>25.166</v>
      </c>
      <c r="L166" s="15"/>
      <c r="M166" s="15"/>
      <c r="N166" s="15"/>
      <c r="O166" s="15"/>
      <c r="P166" s="15" t="s">
        <v>113</v>
      </c>
      <c r="Q166" s="16">
        <f t="shared" ref="Q166" si="228">COUNTIF(C163:O163, "&gt;=0" )</f>
        <v>9</v>
      </c>
      <c r="S166" s="217"/>
      <c r="T166" s="217"/>
      <c r="U166" s="8" t="s">
        <v>100</v>
      </c>
      <c r="V166" s="15">
        <f t="shared" ref="V166:AH166" si="229">C166*C170</f>
        <v>5.0765000000000002</v>
      </c>
      <c r="W166" s="15">
        <f t="shared" si="229"/>
        <v>6.1185599999999996</v>
      </c>
      <c r="X166" s="15">
        <f t="shared" si="229"/>
        <v>8.0236000000000001</v>
      </c>
      <c r="Y166" s="15">
        <f t="shared" si="229"/>
        <v>8.7895000000000003</v>
      </c>
      <c r="Z166" s="15">
        <f t="shared" si="229"/>
        <v>10.10984</v>
      </c>
      <c r="AA166" s="15">
        <f t="shared" si="229"/>
        <v>9.8495200000000018</v>
      </c>
      <c r="AB166" s="15">
        <f t="shared" si="229"/>
        <v>11.266500000000001</v>
      </c>
      <c r="AC166" s="15">
        <f t="shared" si="229"/>
        <v>12.444640000000001</v>
      </c>
      <c r="AD166" s="15">
        <f t="shared" si="229"/>
        <v>12.07968</v>
      </c>
      <c r="AE166" s="15">
        <f t="shared" si="229"/>
        <v>0</v>
      </c>
      <c r="AF166" s="15">
        <f t="shared" si="229"/>
        <v>0</v>
      </c>
      <c r="AG166" s="15">
        <f t="shared" si="229"/>
        <v>0</v>
      </c>
      <c r="AH166" s="15">
        <f t="shared" si="229"/>
        <v>0</v>
      </c>
      <c r="AI166" s="15">
        <f t="shared" ref="AI166" si="230">R166*R170</f>
        <v>0</v>
      </c>
      <c r="AJ166" s="23">
        <f>SUM(V166:AI166)</f>
        <v>83.758340000000004</v>
      </c>
      <c r="AK166" s="2">
        <v>83.758340000000004</v>
      </c>
    </row>
    <row r="167" spans="1:37" x14ac:dyDescent="0.3">
      <c r="A167" s="6"/>
      <c r="B167" s="2" t="s">
        <v>114</v>
      </c>
      <c r="C167" s="15">
        <v>9.7640000000000011</v>
      </c>
      <c r="D167" s="15">
        <v>10.494</v>
      </c>
      <c r="E167" s="15">
        <v>12.654999999999999</v>
      </c>
      <c r="F167" s="15">
        <v>14.818000000000001</v>
      </c>
      <c r="G167" s="15">
        <v>16.001999999999999</v>
      </c>
      <c r="H167" s="15">
        <v>17.531000000000002</v>
      </c>
      <c r="I167" s="15">
        <v>20.465</v>
      </c>
      <c r="J167" s="15">
        <v>22.075000000000003</v>
      </c>
      <c r="K167" s="15">
        <v>24.29</v>
      </c>
      <c r="L167" s="15"/>
      <c r="M167" s="15"/>
      <c r="N167" s="15"/>
      <c r="O167" s="15"/>
      <c r="P167" s="15"/>
      <c r="Q167" s="15"/>
      <c r="S167" s="6"/>
      <c r="T167" s="6"/>
      <c r="U167" s="8" t="s">
        <v>101</v>
      </c>
      <c r="V167" s="15">
        <f t="shared" ref="V167:AH167" si="231">C167*C170</f>
        <v>4.8820000000000006</v>
      </c>
      <c r="W167" s="15">
        <f t="shared" si="231"/>
        <v>5.0371199999999998</v>
      </c>
      <c r="X167" s="15">
        <f t="shared" si="231"/>
        <v>6.5805999999999996</v>
      </c>
      <c r="Y167" s="15">
        <f t="shared" si="231"/>
        <v>7.4090000000000007</v>
      </c>
      <c r="Z167" s="15">
        <f t="shared" si="231"/>
        <v>8.32104</v>
      </c>
      <c r="AA167" s="15">
        <f t="shared" si="231"/>
        <v>8.0642600000000009</v>
      </c>
      <c r="AB167" s="15">
        <f t="shared" si="231"/>
        <v>10.2325</v>
      </c>
      <c r="AC167" s="15">
        <f t="shared" si="231"/>
        <v>11.479000000000003</v>
      </c>
      <c r="AD167" s="15">
        <f t="shared" si="231"/>
        <v>11.659199999999998</v>
      </c>
      <c r="AE167" s="15">
        <f t="shared" si="231"/>
        <v>0</v>
      </c>
      <c r="AF167" s="15">
        <f t="shared" si="231"/>
        <v>0</v>
      </c>
      <c r="AG167" s="15">
        <f t="shared" si="231"/>
        <v>0</v>
      </c>
      <c r="AH167" s="15">
        <f t="shared" si="231"/>
        <v>0</v>
      </c>
      <c r="AI167" s="15">
        <f t="shared" ref="AI167" si="232">R167*R170</f>
        <v>0</v>
      </c>
      <c r="AJ167" s="23">
        <f>SUM(V167:AI167)</f>
        <v>73.664720000000003</v>
      </c>
      <c r="AK167" s="2">
        <v>73.664720000000003</v>
      </c>
    </row>
    <row r="168" spans="1:37" x14ac:dyDescent="0.3">
      <c r="A168" s="6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S168" s="6"/>
      <c r="T168" s="6"/>
      <c r="U168" s="24" t="s">
        <v>115</v>
      </c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19">
        <f>(AJ165-AJ166)/AJ165*100</f>
        <v>3.5680971706530782</v>
      </c>
      <c r="AK168" s="2">
        <v>3.5680971706530782</v>
      </c>
    </row>
    <row r="169" spans="1:37" x14ac:dyDescent="0.3">
      <c r="A169" s="6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S169" s="6"/>
      <c r="T169" s="6"/>
      <c r="U169" s="24" t="s">
        <v>103</v>
      </c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19">
        <f>AJ165-AJ167</f>
        <v>13.192779999999999</v>
      </c>
      <c r="AK169" s="2">
        <v>13.192779999999999</v>
      </c>
    </row>
    <row r="170" spans="1:37" ht="16.2" thickBot="1" x14ac:dyDescent="0.35">
      <c r="A170" s="6"/>
      <c r="B170" s="2" t="s">
        <v>32</v>
      </c>
      <c r="C170" s="15">
        <v>0.5</v>
      </c>
      <c r="D170" s="15">
        <v>0.48</v>
      </c>
      <c r="E170" s="15">
        <v>0.52</v>
      </c>
      <c r="F170" s="15">
        <v>0.5</v>
      </c>
      <c r="G170" s="15">
        <v>0.52</v>
      </c>
      <c r="H170" s="15">
        <v>0.46</v>
      </c>
      <c r="I170" s="15">
        <v>0.5</v>
      </c>
      <c r="J170" s="15">
        <v>0.52</v>
      </c>
      <c r="K170" s="15">
        <v>0.48</v>
      </c>
      <c r="L170" s="15"/>
      <c r="M170" s="15"/>
      <c r="N170" s="15"/>
      <c r="O170" s="15"/>
      <c r="P170" s="15"/>
      <c r="Q170" s="15"/>
      <c r="R170" s="16"/>
      <c r="S170" s="6"/>
      <c r="T170" s="6"/>
      <c r="U170" s="8" t="s">
        <v>97</v>
      </c>
      <c r="V170" s="219"/>
      <c r="W170" s="219"/>
      <c r="X170" s="219"/>
      <c r="Y170" s="219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20"/>
      <c r="AJ170" s="26"/>
    </row>
    <row r="171" spans="1:37" ht="15.75" customHeight="1" x14ac:dyDescent="0.3">
      <c r="A171" s="216" t="s">
        <v>150</v>
      </c>
      <c r="B171" s="13" t="s">
        <v>98</v>
      </c>
      <c r="C171" s="14">
        <v>0</v>
      </c>
      <c r="D171" s="14">
        <v>0</v>
      </c>
      <c r="E171" s="14">
        <v>1.7810000000000001</v>
      </c>
      <c r="F171" s="14">
        <v>1.663</v>
      </c>
      <c r="G171" s="14">
        <v>2.7040000000000002</v>
      </c>
      <c r="H171" s="14">
        <v>1.706</v>
      </c>
      <c r="I171" s="14">
        <v>1.9750000000000001</v>
      </c>
      <c r="J171" s="14">
        <v>2.121</v>
      </c>
      <c r="K171" s="14">
        <v>1.147</v>
      </c>
      <c r="L171" s="14">
        <v>0.56000000000000005</v>
      </c>
      <c r="M171" s="14">
        <v>0.93500000000000005</v>
      </c>
      <c r="N171" s="14"/>
      <c r="O171" s="14"/>
      <c r="P171" s="15" t="s">
        <v>109</v>
      </c>
      <c r="Q171" s="16">
        <f t="shared" ref="Q171" si="233">COUNTIF(C171:N171, "&gt;0" )</f>
        <v>9</v>
      </c>
      <c r="S171" s="216" t="s">
        <v>150</v>
      </c>
      <c r="T171" s="216" t="s">
        <v>2</v>
      </c>
      <c r="U171" s="17" t="s">
        <v>98</v>
      </c>
      <c r="V171" s="18">
        <f t="shared" ref="V171:AH171" si="234">C171*C178</f>
        <v>0</v>
      </c>
      <c r="W171" s="18">
        <f t="shared" si="234"/>
        <v>0</v>
      </c>
      <c r="X171" s="18">
        <f t="shared" si="234"/>
        <v>0.89050000000000007</v>
      </c>
      <c r="Y171" s="18">
        <f t="shared" si="234"/>
        <v>0.86476000000000008</v>
      </c>
      <c r="Z171" s="18">
        <f t="shared" si="234"/>
        <v>1.29792</v>
      </c>
      <c r="AA171" s="18">
        <f t="shared" si="234"/>
        <v>0.85299999999999998</v>
      </c>
      <c r="AB171" s="18">
        <f t="shared" si="234"/>
        <v>0.98750000000000004</v>
      </c>
      <c r="AC171" s="18">
        <f t="shared" si="234"/>
        <v>1.0605</v>
      </c>
      <c r="AD171" s="18">
        <f t="shared" si="234"/>
        <v>0.57350000000000001</v>
      </c>
      <c r="AE171" s="18">
        <f t="shared" si="234"/>
        <v>0.30240000000000006</v>
      </c>
      <c r="AF171" s="18">
        <f t="shared" si="234"/>
        <v>0.43010000000000004</v>
      </c>
      <c r="AG171" s="18">
        <f t="shared" si="234"/>
        <v>0</v>
      </c>
      <c r="AH171" s="18">
        <f t="shared" si="234"/>
        <v>0</v>
      </c>
      <c r="AI171" s="18">
        <f t="shared" ref="AI171" si="235">R171*R178</f>
        <v>0</v>
      </c>
      <c r="AJ171" s="19">
        <f>SUM(V171:AI171)</f>
        <v>7.260180000000001</v>
      </c>
      <c r="AK171" s="2">
        <v>7.260180000000001</v>
      </c>
    </row>
    <row r="172" spans="1:37" ht="15.75" customHeight="1" x14ac:dyDescent="0.3">
      <c r="A172" s="217"/>
      <c r="B172" s="2" t="s">
        <v>110</v>
      </c>
      <c r="C172" s="15"/>
      <c r="D172" s="15"/>
      <c r="E172" s="15" t="s">
        <v>111</v>
      </c>
      <c r="F172" s="15" t="s">
        <v>111</v>
      </c>
      <c r="G172" s="15" t="s">
        <v>111</v>
      </c>
      <c r="H172" s="15" t="s">
        <v>111</v>
      </c>
      <c r="I172" s="15" t="s">
        <v>111</v>
      </c>
      <c r="J172" s="15" t="s">
        <v>111</v>
      </c>
      <c r="K172" s="15" t="s">
        <v>111</v>
      </c>
      <c r="L172" s="15" t="s">
        <v>111</v>
      </c>
      <c r="M172" s="15" t="s">
        <v>111</v>
      </c>
      <c r="N172" s="15"/>
      <c r="O172" s="15"/>
      <c r="P172" s="15" t="s">
        <v>105</v>
      </c>
      <c r="Q172" s="15">
        <f t="shared" ref="Q172" si="236">COUNTIF(C172:N172,"Cortex")</f>
        <v>9</v>
      </c>
      <c r="S172" s="217"/>
      <c r="T172" s="217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23"/>
    </row>
    <row r="173" spans="1:37" ht="15.75" customHeight="1" x14ac:dyDescent="0.3">
      <c r="A173" s="217"/>
      <c r="B173" s="2" t="s">
        <v>99</v>
      </c>
      <c r="C173" s="15">
        <v>14.829000000000001</v>
      </c>
      <c r="D173" s="15">
        <v>17.721</v>
      </c>
      <c r="E173" s="15">
        <v>19.706</v>
      </c>
      <c r="F173" s="15">
        <v>22.501999999999999</v>
      </c>
      <c r="G173" s="15">
        <v>24.245000000000001</v>
      </c>
      <c r="H173" s="15">
        <v>25.195</v>
      </c>
      <c r="I173" s="15">
        <v>25.998000000000001</v>
      </c>
      <c r="J173" s="15">
        <v>25.343</v>
      </c>
      <c r="K173" s="15">
        <v>25.472000000000001</v>
      </c>
      <c r="L173" s="15">
        <v>24.797999999999998</v>
      </c>
      <c r="M173" s="15">
        <v>23.594999999999999</v>
      </c>
      <c r="N173" s="15"/>
      <c r="O173" s="15"/>
      <c r="P173" s="15" t="s">
        <v>106</v>
      </c>
      <c r="Q173" s="15">
        <f t="shared" ref="Q173" si="237">Q171-Q172</f>
        <v>0</v>
      </c>
      <c r="S173" s="217"/>
      <c r="T173" s="217"/>
      <c r="U173" s="8" t="s">
        <v>99</v>
      </c>
      <c r="V173" s="15">
        <f t="shared" ref="V173:AH173" si="238">C173*C178</f>
        <v>7.4145000000000003</v>
      </c>
      <c r="W173" s="15">
        <f t="shared" si="238"/>
        <v>8.8605</v>
      </c>
      <c r="X173" s="15">
        <f t="shared" si="238"/>
        <v>9.8529999999999998</v>
      </c>
      <c r="Y173" s="15">
        <f t="shared" si="238"/>
        <v>11.701039999999999</v>
      </c>
      <c r="Z173" s="15">
        <f t="shared" si="238"/>
        <v>11.637600000000001</v>
      </c>
      <c r="AA173" s="15">
        <f t="shared" si="238"/>
        <v>12.5975</v>
      </c>
      <c r="AB173" s="15">
        <f t="shared" si="238"/>
        <v>12.999000000000001</v>
      </c>
      <c r="AC173" s="15">
        <f t="shared" si="238"/>
        <v>12.6715</v>
      </c>
      <c r="AD173" s="15">
        <f t="shared" si="238"/>
        <v>12.736000000000001</v>
      </c>
      <c r="AE173" s="15">
        <f t="shared" si="238"/>
        <v>13.390919999999999</v>
      </c>
      <c r="AF173" s="15">
        <f t="shared" si="238"/>
        <v>10.8537</v>
      </c>
      <c r="AG173" s="15">
        <f t="shared" si="238"/>
        <v>0</v>
      </c>
      <c r="AH173" s="15">
        <f t="shared" si="238"/>
        <v>0</v>
      </c>
      <c r="AI173" s="15">
        <f t="shared" ref="AI173" si="239">R173*R178</f>
        <v>0</v>
      </c>
      <c r="AJ173" s="23">
        <f>SUM(V173:AI173)</f>
        <v>124.71525999999999</v>
      </c>
      <c r="AK173" s="2">
        <v>124.71525999999999</v>
      </c>
    </row>
    <row r="174" spans="1:37" ht="15.75" customHeight="1" x14ac:dyDescent="0.3">
      <c r="A174" s="217"/>
      <c r="B174" s="2" t="s">
        <v>100</v>
      </c>
      <c r="C174" s="15">
        <v>15.177</v>
      </c>
      <c r="D174" s="15">
        <v>18.003</v>
      </c>
      <c r="E174" s="15">
        <v>20.562000000000001</v>
      </c>
      <c r="F174" s="15">
        <v>22.434999999999999</v>
      </c>
      <c r="G174" s="15">
        <v>24.283999999999999</v>
      </c>
      <c r="H174" s="15">
        <v>24.911000000000001</v>
      </c>
      <c r="I174" s="15">
        <v>25.413999999999998</v>
      </c>
      <c r="J174" s="15">
        <v>25.084</v>
      </c>
      <c r="K174" s="15">
        <v>25.414000000000001</v>
      </c>
      <c r="L174" s="15">
        <v>24.491</v>
      </c>
      <c r="M174" s="15">
        <v>24.971999999999998</v>
      </c>
      <c r="N174" s="15"/>
      <c r="O174" s="15"/>
      <c r="P174" s="15" t="s">
        <v>113</v>
      </c>
      <c r="Q174" s="16">
        <f t="shared" ref="Q174" si="240">COUNTIF(C171:O171, "&gt;=0" )</f>
        <v>11</v>
      </c>
      <c r="S174" s="217"/>
      <c r="T174" s="217"/>
      <c r="U174" s="8" t="s">
        <v>100</v>
      </c>
      <c r="V174" s="15">
        <f t="shared" ref="V174:AH174" si="241">C174*C178</f>
        <v>7.5884999999999998</v>
      </c>
      <c r="W174" s="15">
        <f t="shared" si="241"/>
        <v>9.0015000000000001</v>
      </c>
      <c r="X174" s="15">
        <f t="shared" si="241"/>
        <v>10.281000000000001</v>
      </c>
      <c r="Y174" s="15">
        <f t="shared" si="241"/>
        <v>11.6662</v>
      </c>
      <c r="Z174" s="15">
        <f t="shared" si="241"/>
        <v>11.656319999999999</v>
      </c>
      <c r="AA174" s="15">
        <f t="shared" si="241"/>
        <v>12.455500000000001</v>
      </c>
      <c r="AB174" s="15">
        <f t="shared" si="241"/>
        <v>12.706999999999999</v>
      </c>
      <c r="AC174" s="15">
        <f t="shared" si="241"/>
        <v>12.542</v>
      </c>
      <c r="AD174" s="15">
        <f t="shared" si="241"/>
        <v>12.707000000000001</v>
      </c>
      <c r="AE174" s="15">
        <f t="shared" si="241"/>
        <v>13.225140000000001</v>
      </c>
      <c r="AF174" s="15">
        <f t="shared" si="241"/>
        <v>11.487119999999999</v>
      </c>
      <c r="AG174" s="15">
        <f t="shared" si="241"/>
        <v>0</v>
      </c>
      <c r="AH174" s="15">
        <f t="shared" si="241"/>
        <v>0</v>
      </c>
      <c r="AI174" s="15">
        <f t="shared" ref="AI174" si="242">R174*R178</f>
        <v>0</v>
      </c>
      <c r="AJ174" s="23">
        <f>SUM(V174:AI174)</f>
        <v>125.31728</v>
      </c>
      <c r="AK174" s="2">
        <v>125.31728</v>
      </c>
    </row>
    <row r="175" spans="1:37" x14ac:dyDescent="0.3">
      <c r="A175" s="6"/>
      <c r="B175" s="2" t="s">
        <v>114</v>
      </c>
      <c r="C175" s="15">
        <v>15.177</v>
      </c>
      <c r="D175" s="15">
        <v>18.003</v>
      </c>
      <c r="E175" s="15">
        <v>18.781000000000002</v>
      </c>
      <c r="F175" s="15">
        <v>20.771999999999998</v>
      </c>
      <c r="G175" s="15">
        <v>21.58</v>
      </c>
      <c r="H175" s="15">
        <v>23.205000000000002</v>
      </c>
      <c r="I175" s="15">
        <v>23.438999999999997</v>
      </c>
      <c r="J175" s="15">
        <v>22.963000000000001</v>
      </c>
      <c r="K175" s="15">
        <v>24.267000000000003</v>
      </c>
      <c r="L175" s="15">
        <v>23.931000000000001</v>
      </c>
      <c r="M175" s="15">
        <v>24.036999999999999</v>
      </c>
      <c r="N175" s="15"/>
      <c r="O175" s="15"/>
      <c r="P175" s="15"/>
      <c r="Q175" s="15"/>
      <c r="S175" s="6"/>
      <c r="T175" s="6"/>
      <c r="U175" s="8" t="s">
        <v>101</v>
      </c>
      <c r="V175" s="15">
        <f t="shared" ref="V175:AH175" si="243">C175*C178</f>
        <v>7.5884999999999998</v>
      </c>
      <c r="W175" s="15">
        <f t="shared" si="243"/>
        <v>9.0015000000000001</v>
      </c>
      <c r="X175" s="15">
        <f t="shared" si="243"/>
        <v>9.3905000000000012</v>
      </c>
      <c r="Y175" s="15">
        <f t="shared" si="243"/>
        <v>10.801439999999999</v>
      </c>
      <c r="Z175" s="15">
        <f t="shared" si="243"/>
        <v>10.3584</v>
      </c>
      <c r="AA175" s="15">
        <f t="shared" si="243"/>
        <v>11.602500000000001</v>
      </c>
      <c r="AB175" s="15">
        <f t="shared" si="243"/>
        <v>11.719499999999998</v>
      </c>
      <c r="AC175" s="15">
        <f t="shared" si="243"/>
        <v>11.4815</v>
      </c>
      <c r="AD175" s="15">
        <f t="shared" si="243"/>
        <v>12.133500000000002</v>
      </c>
      <c r="AE175" s="15">
        <f t="shared" si="243"/>
        <v>12.922740000000001</v>
      </c>
      <c r="AF175" s="15">
        <f t="shared" si="243"/>
        <v>11.05702</v>
      </c>
      <c r="AG175" s="15">
        <f t="shared" si="243"/>
        <v>0</v>
      </c>
      <c r="AH175" s="15">
        <f t="shared" si="243"/>
        <v>0</v>
      </c>
      <c r="AI175" s="15">
        <f t="shared" ref="AI175" si="244">R175*R178</f>
        <v>0</v>
      </c>
      <c r="AJ175" s="23">
        <f>SUM(V175:AI175)</f>
        <v>118.05709999999999</v>
      </c>
      <c r="AK175" s="2">
        <v>118.05709999999999</v>
      </c>
    </row>
    <row r="176" spans="1:37" x14ac:dyDescent="0.3">
      <c r="A176" s="6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S176" s="6"/>
      <c r="T176" s="6"/>
      <c r="U176" s="24" t="s">
        <v>115</v>
      </c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19">
        <f>(AJ173-AJ174)/AJ173*100</f>
        <v>-0.48271558749106586</v>
      </c>
      <c r="AK176" s="2">
        <v>-0.48271558749106586</v>
      </c>
    </row>
    <row r="177" spans="1:37" x14ac:dyDescent="0.3">
      <c r="A177" s="6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S177" s="6"/>
      <c r="T177" s="6"/>
      <c r="U177" s="24" t="s">
        <v>103</v>
      </c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19">
        <f>AJ173-AJ175</f>
        <v>6.6581599999999952</v>
      </c>
      <c r="AK177" s="2">
        <v>6.6581599999999952</v>
      </c>
    </row>
    <row r="178" spans="1:37" ht="16.2" thickBot="1" x14ac:dyDescent="0.35">
      <c r="A178" s="6"/>
      <c r="B178" s="2" t="s">
        <v>32</v>
      </c>
      <c r="C178" s="15">
        <v>0.5</v>
      </c>
      <c r="D178" s="15">
        <v>0.5</v>
      </c>
      <c r="E178" s="15">
        <v>0.5</v>
      </c>
      <c r="F178" s="15">
        <v>0.52</v>
      </c>
      <c r="G178" s="15">
        <v>0.48</v>
      </c>
      <c r="H178" s="15">
        <v>0.5</v>
      </c>
      <c r="I178" s="15">
        <v>0.5</v>
      </c>
      <c r="J178" s="15">
        <v>0.5</v>
      </c>
      <c r="K178" s="15">
        <v>0.5</v>
      </c>
      <c r="L178" s="15">
        <v>0.54</v>
      </c>
      <c r="M178" s="15">
        <v>0.46</v>
      </c>
      <c r="N178" s="15"/>
      <c r="O178" s="15"/>
      <c r="P178" s="15"/>
      <c r="Q178" s="15"/>
      <c r="R178" s="16"/>
      <c r="S178" s="6"/>
      <c r="T178" s="6"/>
      <c r="U178" s="8" t="s">
        <v>97</v>
      </c>
      <c r="V178" s="219"/>
      <c r="W178" s="219"/>
      <c r="X178" s="219"/>
      <c r="Y178" s="219"/>
      <c r="Z178" s="219"/>
      <c r="AA178" s="219"/>
      <c r="AB178" s="219"/>
      <c r="AC178" s="219"/>
      <c r="AD178" s="219"/>
      <c r="AE178" s="219"/>
      <c r="AF178" s="219"/>
      <c r="AG178" s="219"/>
      <c r="AH178" s="219"/>
      <c r="AI178" s="220"/>
      <c r="AJ178" s="26"/>
    </row>
    <row r="179" spans="1:37" ht="15.75" customHeight="1" x14ac:dyDescent="0.3">
      <c r="A179" s="216" t="s">
        <v>151</v>
      </c>
      <c r="B179" s="13" t="s">
        <v>98</v>
      </c>
      <c r="C179" s="14">
        <v>0</v>
      </c>
      <c r="D179" s="14">
        <v>0</v>
      </c>
      <c r="E179" s="14">
        <v>0</v>
      </c>
      <c r="F179" s="14">
        <v>0.4</v>
      </c>
      <c r="G179" s="14">
        <v>1.3</v>
      </c>
      <c r="H179" s="14">
        <v>2.8210000000000002</v>
      </c>
      <c r="I179" s="14">
        <v>3.3069999999999999</v>
      </c>
      <c r="J179" s="14">
        <v>4.1660000000000004</v>
      </c>
      <c r="K179" s="14">
        <v>2.5840000000000001</v>
      </c>
      <c r="L179" s="14">
        <v>1.08</v>
      </c>
      <c r="M179" s="14"/>
      <c r="N179" s="14"/>
      <c r="O179" s="14"/>
      <c r="P179" s="15" t="s">
        <v>109</v>
      </c>
      <c r="Q179" s="16">
        <f t="shared" ref="Q179" si="245">COUNTIF(C179:N179, "&gt;0" )</f>
        <v>7</v>
      </c>
      <c r="S179" s="216" t="s">
        <v>151</v>
      </c>
      <c r="T179" s="216" t="s">
        <v>2</v>
      </c>
      <c r="U179" s="17" t="s">
        <v>98</v>
      </c>
      <c r="V179" s="18">
        <f t="shared" ref="V179:AH179" si="246">C179*C186</f>
        <v>0</v>
      </c>
      <c r="W179" s="18">
        <f t="shared" si="246"/>
        <v>0</v>
      </c>
      <c r="X179" s="18">
        <f t="shared" si="246"/>
        <v>0</v>
      </c>
      <c r="Y179" s="18">
        <f t="shared" si="246"/>
        <v>0.21600000000000003</v>
      </c>
      <c r="Z179" s="18">
        <f t="shared" si="246"/>
        <v>0.59800000000000009</v>
      </c>
      <c r="AA179" s="18">
        <f t="shared" si="246"/>
        <v>1.4105000000000001</v>
      </c>
      <c r="AB179" s="18">
        <f t="shared" si="246"/>
        <v>1.6535</v>
      </c>
      <c r="AC179" s="18">
        <f t="shared" si="246"/>
        <v>2.0830000000000002</v>
      </c>
      <c r="AD179" s="18">
        <f t="shared" si="246"/>
        <v>1.292</v>
      </c>
      <c r="AE179" s="18">
        <f t="shared" si="246"/>
        <v>0.54</v>
      </c>
      <c r="AF179" s="18">
        <f t="shared" si="246"/>
        <v>0</v>
      </c>
      <c r="AG179" s="18">
        <f t="shared" si="246"/>
        <v>0</v>
      </c>
      <c r="AH179" s="18">
        <f t="shared" si="246"/>
        <v>0</v>
      </c>
      <c r="AI179" s="18">
        <f t="shared" ref="AI179" si="247">R179*R186</f>
        <v>0</v>
      </c>
      <c r="AJ179" s="19">
        <f>SUM(V179:AI179)</f>
        <v>7.7930000000000001</v>
      </c>
      <c r="AK179" s="2">
        <v>7.7930000000000001</v>
      </c>
    </row>
    <row r="180" spans="1:37" ht="15.75" customHeight="1" x14ac:dyDescent="0.3">
      <c r="A180" s="217"/>
      <c r="B180" s="2" t="s">
        <v>110</v>
      </c>
      <c r="C180" s="15"/>
      <c r="D180" s="15"/>
      <c r="E180" s="15"/>
      <c r="F180" s="15" t="s">
        <v>111</v>
      </c>
      <c r="G180" s="15" t="s">
        <v>111</v>
      </c>
      <c r="H180" s="15" t="s">
        <v>112</v>
      </c>
      <c r="I180" s="15" t="s">
        <v>125</v>
      </c>
      <c r="J180" s="15" t="s">
        <v>112</v>
      </c>
      <c r="K180" s="15" t="s">
        <v>111</v>
      </c>
      <c r="L180" s="15"/>
      <c r="M180" s="15"/>
      <c r="N180" s="15"/>
      <c r="O180" s="15"/>
      <c r="P180" s="15" t="s">
        <v>105</v>
      </c>
      <c r="Q180" s="15">
        <f t="shared" ref="Q180" si="248">COUNTIF(C180:N180,"Cortex")</f>
        <v>3</v>
      </c>
      <c r="S180" s="217"/>
      <c r="T180" s="217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23"/>
    </row>
    <row r="181" spans="1:37" ht="15.75" customHeight="1" x14ac:dyDescent="0.3">
      <c r="A181" s="217"/>
      <c r="B181" s="2" t="s">
        <v>99</v>
      </c>
      <c r="C181" s="15">
        <v>9.9209999999999994</v>
      </c>
      <c r="D181" s="15">
        <v>12.589</v>
      </c>
      <c r="E181" s="15">
        <v>18.111000000000001</v>
      </c>
      <c r="F181" s="15">
        <v>20.879000000000001</v>
      </c>
      <c r="G181" s="15">
        <v>23.67</v>
      </c>
      <c r="H181" s="15">
        <v>24.962</v>
      </c>
      <c r="I181" s="15">
        <v>27.89</v>
      </c>
      <c r="J181" s="15">
        <v>29.143999999999998</v>
      </c>
      <c r="K181" s="15">
        <v>29.936</v>
      </c>
      <c r="L181" s="15">
        <v>28.646000000000001</v>
      </c>
      <c r="M181" s="15"/>
      <c r="N181" s="15"/>
      <c r="O181" s="15"/>
      <c r="P181" s="15" t="s">
        <v>106</v>
      </c>
      <c r="Q181" s="15">
        <f t="shared" ref="Q181" si="249">Q179-Q180</f>
        <v>4</v>
      </c>
      <c r="S181" s="217"/>
      <c r="T181" s="217"/>
      <c r="U181" s="8" t="s">
        <v>99</v>
      </c>
      <c r="V181" s="15">
        <f t="shared" ref="V181:AH181" si="250">C181*C186</f>
        <v>4.9604999999999997</v>
      </c>
      <c r="W181" s="15">
        <f t="shared" si="250"/>
        <v>7.0498400000000006</v>
      </c>
      <c r="X181" s="15">
        <f t="shared" si="250"/>
        <v>7.9688400000000001</v>
      </c>
      <c r="Y181" s="15">
        <f t="shared" si="250"/>
        <v>11.274660000000001</v>
      </c>
      <c r="Z181" s="15">
        <f t="shared" si="250"/>
        <v>10.888200000000001</v>
      </c>
      <c r="AA181" s="15">
        <f t="shared" si="250"/>
        <v>12.481</v>
      </c>
      <c r="AB181" s="15">
        <f t="shared" si="250"/>
        <v>13.945</v>
      </c>
      <c r="AC181" s="15">
        <f t="shared" si="250"/>
        <v>14.571999999999999</v>
      </c>
      <c r="AD181" s="15">
        <f t="shared" si="250"/>
        <v>14.968</v>
      </c>
      <c r="AE181" s="15">
        <f t="shared" si="250"/>
        <v>14.323</v>
      </c>
      <c r="AF181" s="15">
        <f t="shared" si="250"/>
        <v>0</v>
      </c>
      <c r="AG181" s="15">
        <f t="shared" si="250"/>
        <v>0</v>
      </c>
      <c r="AH181" s="15">
        <f t="shared" si="250"/>
        <v>0</v>
      </c>
      <c r="AI181" s="15">
        <f t="shared" ref="AI181" si="251">R181*R186</f>
        <v>0</v>
      </c>
      <c r="AJ181" s="23">
        <f>SUM(V181:AI181)</f>
        <v>112.43104</v>
      </c>
      <c r="AK181" s="2">
        <v>112.43104</v>
      </c>
    </row>
    <row r="182" spans="1:37" ht="15.75" customHeight="1" x14ac:dyDescent="0.3">
      <c r="A182" s="217"/>
      <c r="B182" s="2" t="s">
        <v>100</v>
      </c>
      <c r="C182" s="15">
        <v>11.696</v>
      </c>
      <c r="D182" s="15">
        <v>14.403</v>
      </c>
      <c r="E182" s="15">
        <v>18.588000000000001</v>
      </c>
      <c r="F182" s="15">
        <v>21.018000000000001</v>
      </c>
      <c r="G182" s="15">
        <v>24.268999999999998</v>
      </c>
      <c r="H182" s="15">
        <v>25.497</v>
      </c>
      <c r="I182" s="15">
        <v>27.405000000000001</v>
      </c>
      <c r="J182" s="15">
        <v>29.087</v>
      </c>
      <c r="K182" s="15">
        <v>29.997999999999998</v>
      </c>
      <c r="L182" s="15">
        <v>29.363</v>
      </c>
      <c r="M182" s="15"/>
      <c r="N182" s="15"/>
      <c r="O182" s="15"/>
      <c r="P182" s="15" t="s">
        <v>113</v>
      </c>
      <c r="Q182" s="16">
        <f t="shared" ref="Q182" si="252">COUNTIF(C179:O179, "&gt;=0" )</f>
        <v>10</v>
      </c>
      <c r="S182" s="217"/>
      <c r="T182" s="217"/>
      <c r="U182" s="8" t="s">
        <v>100</v>
      </c>
      <c r="V182" s="15">
        <f t="shared" ref="V182:AH182" si="253">C182*C186</f>
        <v>5.8479999999999999</v>
      </c>
      <c r="W182" s="15">
        <f t="shared" si="253"/>
        <v>8.0656800000000004</v>
      </c>
      <c r="X182" s="15">
        <f t="shared" si="253"/>
        <v>8.1787200000000002</v>
      </c>
      <c r="Y182" s="15">
        <f t="shared" si="253"/>
        <v>11.349720000000001</v>
      </c>
      <c r="Z182" s="15">
        <f t="shared" si="253"/>
        <v>11.163739999999999</v>
      </c>
      <c r="AA182" s="15">
        <f t="shared" si="253"/>
        <v>12.7485</v>
      </c>
      <c r="AB182" s="15">
        <f t="shared" si="253"/>
        <v>13.702500000000001</v>
      </c>
      <c r="AC182" s="15">
        <f t="shared" si="253"/>
        <v>14.5435</v>
      </c>
      <c r="AD182" s="15">
        <f t="shared" si="253"/>
        <v>14.998999999999999</v>
      </c>
      <c r="AE182" s="15">
        <f t="shared" si="253"/>
        <v>14.6815</v>
      </c>
      <c r="AF182" s="15">
        <f t="shared" si="253"/>
        <v>0</v>
      </c>
      <c r="AG182" s="15">
        <f t="shared" si="253"/>
        <v>0</v>
      </c>
      <c r="AH182" s="15">
        <f t="shared" si="253"/>
        <v>0</v>
      </c>
      <c r="AI182" s="15">
        <f t="shared" ref="AI182" si="254">R182*R186</f>
        <v>0</v>
      </c>
      <c r="AJ182" s="23">
        <f>SUM(V182:AI182)</f>
        <v>115.28085999999999</v>
      </c>
      <c r="AK182" s="2">
        <v>115.28085999999999</v>
      </c>
    </row>
    <row r="183" spans="1:37" x14ac:dyDescent="0.3">
      <c r="A183" s="6"/>
      <c r="B183" s="2" t="s">
        <v>114</v>
      </c>
      <c r="C183" s="15">
        <v>11.696</v>
      </c>
      <c r="D183" s="15">
        <v>14.403</v>
      </c>
      <c r="E183" s="15">
        <v>18.588000000000001</v>
      </c>
      <c r="F183" s="15">
        <v>20.618000000000002</v>
      </c>
      <c r="G183" s="15">
        <v>22.968999999999998</v>
      </c>
      <c r="H183" s="15">
        <v>22.675999999999998</v>
      </c>
      <c r="I183" s="15">
        <v>24.098000000000003</v>
      </c>
      <c r="J183" s="15">
        <v>24.920999999999999</v>
      </c>
      <c r="K183" s="15">
        <v>27.413999999999998</v>
      </c>
      <c r="L183" s="15">
        <v>28.283000000000001</v>
      </c>
      <c r="M183" s="15"/>
      <c r="N183" s="15"/>
      <c r="O183" s="15"/>
      <c r="P183" s="15"/>
      <c r="Q183" s="15"/>
      <c r="S183" s="6"/>
      <c r="T183" s="6"/>
      <c r="U183" s="8" t="s">
        <v>101</v>
      </c>
      <c r="V183" s="15">
        <f t="shared" ref="V183:AH183" si="255">C183*C186</f>
        <v>5.8479999999999999</v>
      </c>
      <c r="W183" s="15">
        <f t="shared" si="255"/>
        <v>8.0656800000000004</v>
      </c>
      <c r="X183" s="15">
        <f t="shared" si="255"/>
        <v>8.1787200000000002</v>
      </c>
      <c r="Y183" s="15">
        <f t="shared" si="255"/>
        <v>11.133720000000002</v>
      </c>
      <c r="Z183" s="15">
        <f t="shared" si="255"/>
        <v>10.56574</v>
      </c>
      <c r="AA183" s="15">
        <f t="shared" si="255"/>
        <v>11.337999999999999</v>
      </c>
      <c r="AB183" s="15">
        <f t="shared" si="255"/>
        <v>12.049000000000001</v>
      </c>
      <c r="AC183" s="15">
        <f t="shared" si="255"/>
        <v>12.4605</v>
      </c>
      <c r="AD183" s="15">
        <f t="shared" si="255"/>
        <v>13.706999999999999</v>
      </c>
      <c r="AE183" s="15">
        <f t="shared" si="255"/>
        <v>14.141500000000001</v>
      </c>
      <c r="AF183" s="15">
        <f t="shared" si="255"/>
        <v>0</v>
      </c>
      <c r="AG183" s="15">
        <f t="shared" si="255"/>
        <v>0</v>
      </c>
      <c r="AH183" s="15">
        <f t="shared" si="255"/>
        <v>0</v>
      </c>
      <c r="AI183" s="15">
        <f t="shared" ref="AI183" si="256">R183*R186</f>
        <v>0</v>
      </c>
      <c r="AJ183" s="23">
        <f>SUM(V183:AI183)</f>
        <v>107.48785999999998</v>
      </c>
      <c r="AK183" s="2">
        <v>107.48785999999998</v>
      </c>
    </row>
    <row r="184" spans="1:37" x14ac:dyDescent="0.3">
      <c r="A184" s="6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S184" s="6"/>
      <c r="T184" s="6"/>
      <c r="U184" s="24" t="s">
        <v>115</v>
      </c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19">
        <f>(AJ181-AJ182)/AJ181*100</f>
        <v>-2.5347270646967188</v>
      </c>
      <c r="AK184" s="2">
        <v>-2.5347270646967188</v>
      </c>
    </row>
    <row r="185" spans="1:37" x14ac:dyDescent="0.3">
      <c r="A185" s="6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S185" s="6"/>
      <c r="T185" s="6"/>
      <c r="U185" s="24" t="s">
        <v>103</v>
      </c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19">
        <f>AJ181-AJ183</f>
        <v>4.9431800000000123</v>
      </c>
      <c r="AK185" s="2">
        <v>4.9431800000000123</v>
      </c>
    </row>
    <row r="186" spans="1:37" ht="16.2" thickBot="1" x14ac:dyDescent="0.35">
      <c r="A186" s="6"/>
      <c r="B186" s="2" t="s">
        <v>32</v>
      </c>
      <c r="C186" s="15">
        <v>0.5</v>
      </c>
      <c r="D186" s="15">
        <v>0.56000000000000005</v>
      </c>
      <c r="E186" s="15">
        <v>0.44</v>
      </c>
      <c r="F186" s="15">
        <v>0.54</v>
      </c>
      <c r="G186" s="15">
        <v>0.46</v>
      </c>
      <c r="H186" s="15">
        <v>0.5</v>
      </c>
      <c r="I186" s="15">
        <v>0.5</v>
      </c>
      <c r="J186" s="15">
        <v>0.5</v>
      </c>
      <c r="K186" s="15">
        <v>0.5</v>
      </c>
      <c r="L186" s="15">
        <v>0.5</v>
      </c>
      <c r="M186" s="15"/>
      <c r="N186" s="15"/>
      <c r="O186" s="15"/>
      <c r="P186" s="15"/>
      <c r="Q186" s="15"/>
      <c r="R186" s="16"/>
      <c r="S186" s="6"/>
      <c r="T186" s="6"/>
      <c r="U186" s="8" t="s">
        <v>97</v>
      </c>
      <c r="V186" s="221" t="s">
        <v>134</v>
      </c>
      <c r="W186" s="221"/>
      <c r="X186" s="221"/>
      <c r="Y186" s="221"/>
      <c r="Z186" s="221"/>
      <c r="AA186" s="221"/>
      <c r="AB186" s="221"/>
      <c r="AC186" s="221"/>
      <c r="AD186" s="221"/>
      <c r="AE186" s="221"/>
      <c r="AF186" s="221"/>
      <c r="AG186" s="221"/>
      <c r="AH186" s="221"/>
      <c r="AI186" s="222"/>
      <c r="AJ186" s="26"/>
    </row>
    <row r="187" spans="1:37" ht="15.75" customHeight="1" x14ac:dyDescent="0.3">
      <c r="A187" s="216" t="s">
        <v>152</v>
      </c>
      <c r="B187" s="13" t="s">
        <v>98</v>
      </c>
      <c r="C187" s="14">
        <v>0.157</v>
      </c>
      <c r="D187" s="14">
        <v>0.98399999999999999</v>
      </c>
      <c r="E187" s="14">
        <v>2.4430000000000001</v>
      </c>
      <c r="F187" s="14">
        <v>2.528</v>
      </c>
      <c r="G187" s="14">
        <v>3.46</v>
      </c>
      <c r="H187" s="14">
        <v>3.5920000000000001</v>
      </c>
      <c r="I187" s="14">
        <v>2.903</v>
      </c>
      <c r="J187" s="14">
        <v>2.3490000000000002</v>
      </c>
      <c r="K187" s="14">
        <v>2.23</v>
      </c>
      <c r="L187" s="14">
        <v>1.2789999999999999</v>
      </c>
      <c r="M187" s="14"/>
      <c r="N187" s="14"/>
      <c r="O187" s="14"/>
      <c r="P187" s="15" t="s">
        <v>109</v>
      </c>
      <c r="Q187" s="16">
        <f t="shared" ref="Q187" si="257">COUNTIF(C187:N187, "&gt;0" )</f>
        <v>10</v>
      </c>
      <c r="S187" s="216" t="s">
        <v>152</v>
      </c>
      <c r="T187" s="216" t="s">
        <v>2</v>
      </c>
      <c r="U187" s="17" t="s">
        <v>98</v>
      </c>
      <c r="V187" s="18">
        <f t="shared" ref="V187:AH187" si="258">C187*C194</f>
        <v>7.85E-2</v>
      </c>
      <c r="W187" s="18">
        <f t="shared" si="258"/>
        <v>0.55104000000000009</v>
      </c>
      <c r="X187" s="18">
        <f t="shared" si="258"/>
        <v>1.1726399999999999</v>
      </c>
      <c r="Y187" s="18">
        <f t="shared" si="258"/>
        <v>1.1628800000000001</v>
      </c>
      <c r="Z187" s="18">
        <f t="shared" si="258"/>
        <v>1.7992000000000001</v>
      </c>
      <c r="AA187" s="18">
        <f t="shared" si="258"/>
        <v>1.7241599999999999</v>
      </c>
      <c r="AB187" s="18">
        <f t="shared" si="258"/>
        <v>1.4515</v>
      </c>
      <c r="AC187" s="18">
        <f t="shared" si="258"/>
        <v>1.36242</v>
      </c>
      <c r="AD187" s="18">
        <f t="shared" si="258"/>
        <v>0.98119999999999996</v>
      </c>
      <c r="AE187" s="18">
        <f t="shared" si="258"/>
        <v>0.63949999999999996</v>
      </c>
      <c r="AF187" s="18">
        <f t="shared" si="258"/>
        <v>0</v>
      </c>
      <c r="AG187" s="18">
        <f t="shared" si="258"/>
        <v>0</v>
      </c>
      <c r="AH187" s="18">
        <f t="shared" si="258"/>
        <v>0</v>
      </c>
      <c r="AI187" s="18">
        <f t="shared" ref="AI187" si="259">R187*R194</f>
        <v>0</v>
      </c>
      <c r="AJ187" s="19">
        <f>SUM(V187:AI187)</f>
        <v>10.923039999999999</v>
      </c>
      <c r="AK187" s="2">
        <v>10.923039999999999</v>
      </c>
    </row>
    <row r="188" spans="1:37" ht="15.75" customHeight="1" x14ac:dyDescent="0.3">
      <c r="A188" s="217"/>
      <c r="B188" s="2" t="s">
        <v>110</v>
      </c>
      <c r="C188" s="15" t="s">
        <v>111</v>
      </c>
      <c r="D188" s="15" t="s">
        <v>111</v>
      </c>
      <c r="E188" s="15" t="s">
        <v>111</v>
      </c>
      <c r="F188" s="15" t="s">
        <v>111</v>
      </c>
      <c r="G188" s="15" t="s">
        <v>153</v>
      </c>
      <c r="H188" s="15" t="s">
        <v>111</v>
      </c>
      <c r="I188" s="15" t="s">
        <v>111</v>
      </c>
      <c r="J188" s="15" t="s">
        <v>112</v>
      </c>
      <c r="K188" s="15" t="s">
        <v>111</v>
      </c>
      <c r="L188" s="15" t="s">
        <v>111</v>
      </c>
      <c r="M188" s="15"/>
      <c r="N188" s="15"/>
      <c r="O188" s="15"/>
      <c r="P188" s="15" t="s">
        <v>105</v>
      </c>
      <c r="Q188" s="15">
        <f t="shared" ref="Q188" si="260">COUNTIF(C188:N188,"Cortex")</f>
        <v>8</v>
      </c>
      <c r="S188" s="217"/>
      <c r="T188" s="217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23"/>
    </row>
    <row r="189" spans="1:37" ht="15.75" customHeight="1" x14ac:dyDescent="0.3">
      <c r="A189" s="217"/>
      <c r="B189" s="2" t="s">
        <v>99</v>
      </c>
      <c r="C189" s="15">
        <v>10.081</v>
      </c>
      <c r="D189" s="15">
        <v>13.688000000000001</v>
      </c>
      <c r="E189" s="15">
        <v>16.902999999999999</v>
      </c>
      <c r="F189" s="15">
        <v>19.254999999999999</v>
      </c>
      <c r="G189" s="15">
        <v>22.015999999999998</v>
      </c>
      <c r="H189" s="15">
        <v>23.04</v>
      </c>
      <c r="I189" s="15">
        <v>25.84</v>
      </c>
      <c r="J189" s="15">
        <v>26.76</v>
      </c>
      <c r="K189" s="15">
        <v>27.905999999999999</v>
      </c>
      <c r="L189" s="15">
        <v>27.850999999999999</v>
      </c>
      <c r="M189" s="15"/>
      <c r="N189" s="15"/>
      <c r="O189" s="15"/>
      <c r="P189" s="15" t="s">
        <v>106</v>
      </c>
      <c r="Q189" s="15">
        <f t="shared" ref="Q189" si="261">Q187-Q188</f>
        <v>2</v>
      </c>
      <c r="S189" s="217"/>
      <c r="T189" s="217"/>
      <c r="U189" s="8" t="s">
        <v>99</v>
      </c>
      <c r="V189" s="15">
        <f t="shared" ref="V189:AH189" si="262">C189*C194</f>
        <v>5.0404999999999998</v>
      </c>
      <c r="W189" s="15">
        <f t="shared" si="262"/>
        <v>7.665280000000001</v>
      </c>
      <c r="X189" s="15">
        <f t="shared" si="262"/>
        <v>8.1134399999999989</v>
      </c>
      <c r="Y189" s="15">
        <f t="shared" si="262"/>
        <v>8.8573000000000004</v>
      </c>
      <c r="Z189" s="15">
        <f t="shared" si="262"/>
        <v>11.448319999999999</v>
      </c>
      <c r="AA189" s="15">
        <f t="shared" si="262"/>
        <v>11.059199999999999</v>
      </c>
      <c r="AB189" s="15">
        <f t="shared" si="262"/>
        <v>12.92</v>
      </c>
      <c r="AC189" s="15">
        <f t="shared" si="262"/>
        <v>15.520799999999999</v>
      </c>
      <c r="AD189" s="15">
        <f t="shared" si="262"/>
        <v>12.278639999999999</v>
      </c>
      <c r="AE189" s="15">
        <f t="shared" si="262"/>
        <v>13.9255</v>
      </c>
      <c r="AF189" s="15">
        <f t="shared" si="262"/>
        <v>0</v>
      </c>
      <c r="AG189" s="15">
        <f t="shared" si="262"/>
        <v>0</v>
      </c>
      <c r="AH189" s="15">
        <f t="shared" si="262"/>
        <v>0</v>
      </c>
      <c r="AI189" s="15">
        <f t="shared" ref="AI189" si="263">R189*R194</f>
        <v>0</v>
      </c>
      <c r="AJ189" s="23">
        <f>SUM(V189:AI189)</f>
        <v>106.82897999999999</v>
      </c>
      <c r="AK189" s="2">
        <v>106.82897999999999</v>
      </c>
    </row>
    <row r="190" spans="1:37" ht="15.75" customHeight="1" x14ac:dyDescent="0.3">
      <c r="A190" s="217"/>
      <c r="B190" s="2" t="s">
        <v>100</v>
      </c>
      <c r="C190" s="15">
        <v>8.859</v>
      </c>
      <c r="D190" s="15">
        <v>13.355</v>
      </c>
      <c r="E190" s="15">
        <v>17.109000000000002</v>
      </c>
      <c r="F190" s="15">
        <v>18.853999999999999</v>
      </c>
      <c r="G190" s="15">
        <v>22.34</v>
      </c>
      <c r="H190" s="15">
        <v>24.012</v>
      </c>
      <c r="I190" s="15">
        <v>25.204000000000001</v>
      </c>
      <c r="J190" s="15">
        <v>26.625</v>
      </c>
      <c r="K190" s="15">
        <v>26.995000000000001</v>
      </c>
      <c r="L190" s="15">
        <v>26.914999999999999</v>
      </c>
      <c r="M190" s="15"/>
      <c r="N190" s="15"/>
      <c r="O190" s="15"/>
      <c r="P190" s="15" t="s">
        <v>113</v>
      </c>
      <c r="Q190" s="16">
        <f t="shared" ref="Q190" si="264">COUNTIF(C187:O187, "&gt;=0" )</f>
        <v>10</v>
      </c>
      <c r="S190" s="217"/>
      <c r="T190" s="217"/>
      <c r="U190" s="8" t="s">
        <v>100</v>
      </c>
      <c r="V190" s="15">
        <f t="shared" ref="V190:AH190" si="265">C190*C194</f>
        <v>4.4295</v>
      </c>
      <c r="W190" s="15">
        <f t="shared" si="265"/>
        <v>7.4788000000000006</v>
      </c>
      <c r="X190" s="15">
        <f t="shared" si="265"/>
        <v>8.2123200000000001</v>
      </c>
      <c r="Y190" s="15">
        <f t="shared" si="265"/>
        <v>8.6728400000000008</v>
      </c>
      <c r="Z190" s="15">
        <f t="shared" si="265"/>
        <v>11.6168</v>
      </c>
      <c r="AA190" s="15">
        <f t="shared" si="265"/>
        <v>11.52576</v>
      </c>
      <c r="AB190" s="15">
        <f t="shared" si="265"/>
        <v>12.602</v>
      </c>
      <c r="AC190" s="15">
        <f t="shared" si="265"/>
        <v>15.442499999999999</v>
      </c>
      <c r="AD190" s="15">
        <f t="shared" si="265"/>
        <v>11.877800000000001</v>
      </c>
      <c r="AE190" s="15">
        <f t="shared" si="265"/>
        <v>13.4575</v>
      </c>
      <c r="AF190" s="15">
        <f t="shared" si="265"/>
        <v>0</v>
      </c>
      <c r="AG190" s="15">
        <f t="shared" si="265"/>
        <v>0</v>
      </c>
      <c r="AH190" s="15">
        <f t="shared" si="265"/>
        <v>0</v>
      </c>
      <c r="AI190" s="15">
        <f t="shared" ref="AI190" si="266">R190*R194</f>
        <v>0</v>
      </c>
      <c r="AJ190" s="23">
        <f>SUM(V190:AI190)</f>
        <v>105.31581999999999</v>
      </c>
      <c r="AK190" s="2">
        <v>105.31581999999999</v>
      </c>
    </row>
    <row r="191" spans="1:37" x14ac:dyDescent="0.3">
      <c r="A191" s="6"/>
      <c r="B191" s="2" t="s">
        <v>114</v>
      </c>
      <c r="C191" s="15">
        <v>8.702</v>
      </c>
      <c r="D191" s="15">
        <v>12.371</v>
      </c>
      <c r="E191" s="15">
        <v>14.666000000000002</v>
      </c>
      <c r="F191" s="15">
        <v>16.326000000000001</v>
      </c>
      <c r="G191" s="15">
        <v>18.88</v>
      </c>
      <c r="H191" s="15">
        <v>20.420000000000002</v>
      </c>
      <c r="I191" s="15">
        <v>22.301000000000002</v>
      </c>
      <c r="J191" s="15">
        <v>24.276</v>
      </c>
      <c r="K191" s="15">
        <v>24.765000000000001</v>
      </c>
      <c r="L191" s="15">
        <v>25.635999999999999</v>
      </c>
      <c r="M191" s="15"/>
      <c r="N191" s="15"/>
      <c r="O191" s="15"/>
      <c r="P191" s="15"/>
      <c r="Q191" s="15"/>
      <c r="S191" s="6"/>
      <c r="T191" s="6"/>
      <c r="U191" s="8" t="s">
        <v>101</v>
      </c>
      <c r="V191" s="15">
        <f t="shared" ref="V191:AH191" si="267">C191*C194</f>
        <v>4.351</v>
      </c>
      <c r="W191" s="15">
        <f t="shared" si="267"/>
        <v>6.927760000000001</v>
      </c>
      <c r="X191" s="15">
        <f t="shared" si="267"/>
        <v>7.0396800000000006</v>
      </c>
      <c r="Y191" s="15">
        <f t="shared" si="267"/>
        <v>7.5099600000000004</v>
      </c>
      <c r="Z191" s="15">
        <f t="shared" si="267"/>
        <v>9.8176000000000005</v>
      </c>
      <c r="AA191" s="15">
        <f t="shared" si="267"/>
        <v>9.8016000000000005</v>
      </c>
      <c r="AB191" s="15">
        <f t="shared" si="267"/>
        <v>11.150500000000001</v>
      </c>
      <c r="AC191" s="15">
        <f t="shared" si="267"/>
        <v>14.080079999999999</v>
      </c>
      <c r="AD191" s="15">
        <f t="shared" si="267"/>
        <v>10.896600000000001</v>
      </c>
      <c r="AE191" s="15">
        <f t="shared" si="267"/>
        <v>12.818</v>
      </c>
      <c r="AF191" s="15">
        <f t="shared" si="267"/>
        <v>0</v>
      </c>
      <c r="AG191" s="15">
        <f t="shared" si="267"/>
        <v>0</v>
      </c>
      <c r="AH191" s="15">
        <f t="shared" si="267"/>
        <v>0</v>
      </c>
      <c r="AI191" s="15">
        <f t="shared" ref="AI191" si="268">R191*R194</f>
        <v>0</v>
      </c>
      <c r="AJ191" s="23">
        <f>SUM(V191:AI191)</f>
        <v>94.392780000000002</v>
      </c>
      <c r="AK191" s="2">
        <v>94.392780000000002</v>
      </c>
    </row>
    <row r="192" spans="1:37" x14ac:dyDescent="0.3">
      <c r="A192" s="6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S192" s="6"/>
      <c r="T192" s="6"/>
      <c r="U192" s="24" t="s">
        <v>115</v>
      </c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19">
        <f>(AJ189-AJ190)/AJ189*100</f>
        <v>1.4164321329287233</v>
      </c>
      <c r="AK192" s="2">
        <v>1.4164321329287233</v>
      </c>
    </row>
    <row r="193" spans="1:37" x14ac:dyDescent="0.3">
      <c r="A193" s="6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S193" s="6"/>
      <c r="T193" s="6"/>
      <c r="U193" s="24" t="s">
        <v>103</v>
      </c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19">
        <f>AJ189-AJ191</f>
        <v>12.436199999999985</v>
      </c>
      <c r="AK193" s="2">
        <v>12.436199999999985</v>
      </c>
    </row>
    <row r="194" spans="1:37" ht="15.75" customHeight="1" thickBot="1" x14ac:dyDescent="0.35">
      <c r="A194" s="6"/>
      <c r="B194" s="2" t="s">
        <v>32</v>
      </c>
      <c r="C194" s="15">
        <v>0.5</v>
      </c>
      <c r="D194" s="15">
        <v>0.56000000000000005</v>
      </c>
      <c r="E194" s="15">
        <v>0.48</v>
      </c>
      <c r="F194" s="15">
        <v>0.46</v>
      </c>
      <c r="G194" s="15">
        <v>0.52</v>
      </c>
      <c r="H194" s="15">
        <v>0.48</v>
      </c>
      <c r="I194" s="15">
        <v>0.5</v>
      </c>
      <c r="J194" s="15">
        <v>0.57999999999999996</v>
      </c>
      <c r="K194" s="15">
        <v>0.44</v>
      </c>
      <c r="L194" s="15">
        <v>0.5</v>
      </c>
      <c r="M194" s="15"/>
      <c r="N194" s="15"/>
      <c r="O194" s="15"/>
      <c r="P194" s="15"/>
      <c r="Q194" s="15"/>
      <c r="S194" s="6"/>
      <c r="T194" s="6"/>
      <c r="U194" s="8" t="s">
        <v>97</v>
      </c>
      <c r="V194" s="219"/>
      <c r="W194" s="219"/>
      <c r="X194" s="219"/>
      <c r="Y194" s="219"/>
      <c r="Z194" s="219"/>
      <c r="AA194" s="219"/>
      <c r="AB194" s="219"/>
      <c r="AC194" s="219"/>
      <c r="AD194" s="219"/>
      <c r="AE194" s="219"/>
      <c r="AF194" s="219"/>
      <c r="AG194" s="219"/>
      <c r="AH194" s="219"/>
      <c r="AI194" s="220"/>
      <c r="AJ194" s="26"/>
    </row>
    <row r="195" spans="1:37" ht="15.75" customHeight="1" x14ac:dyDescent="0.3">
      <c r="A195" s="216" t="s">
        <v>154</v>
      </c>
      <c r="B195" s="13" t="s">
        <v>98</v>
      </c>
      <c r="C195" s="14">
        <v>0</v>
      </c>
      <c r="D195" s="14">
        <v>1.36</v>
      </c>
      <c r="E195" s="14">
        <v>2.835</v>
      </c>
      <c r="F195" s="14">
        <v>3.335</v>
      </c>
      <c r="G195" s="14">
        <v>4.6369999999999996</v>
      </c>
      <c r="H195" s="14">
        <v>3.9620000000000002</v>
      </c>
      <c r="I195" s="14">
        <v>3.7549999999999999</v>
      </c>
      <c r="J195" s="14">
        <v>3.8010000000000002</v>
      </c>
      <c r="K195" s="14">
        <v>0.503</v>
      </c>
      <c r="L195" s="14">
        <v>0.14899999999999999</v>
      </c>
      <c r="M195" s="14"/>
      <c r="N195" s="14"/>
      <c r="O195" s="14"/>
      <c r="P195" s="15" t="s">
        <v>109</v>
      </c>
      <c r="Q195" s="16">
        <f t="shared" ref="Q195" si="269">COUNTIF(C195:N195, "&gt;0" )</f>
        <v>9</v>
      </c>
      <c r="S195" s="216" t="s">
        <v>154</v>
      </c>
      <c r="T195" s="216" t="s">
        <v>2</v>
      </c>
      <c r="U195" s="17" t="s">
        <v>98</v>
      </c>
      <c r="V195" s="18">
        <f t="shared" ref="V195:AH195" si="270">C195*C202</f>
        <v>0</v>
      </c>
      <c r="W195" s="18">
        <f t="shared" si="270"/>
        <v>0.65280000000000005</v>
      </c>
      <c r="X195" s="18">
        <f t="shared" si="270"/>
        <v>1.4175</v>
      </c>
      <c r="Y195" s="18">
        <f t="shared" si="270"/>
        <v>1.8009000000000002</v>
      </c>
      <c r="Z195" s="18">
        <f t="shared" si="270"/>
        <v>2.1330199999999997</v>
      </c>
      <c r="AA195" s="18">
        <f t="shared" si="270"/>
        <v>1.9810000000000001</v>
      </c>
      <c r="AB195" s="18">
        <f t="shared" si="270"/>
        <v>1.8774999999999999</v>
      </c>
      <c r="AC195" s="18">
        <f t="shared" si="270"/>
        <v>1.9005000000000001</v>
      </c>
      <c r="AD195" s="18">
        <f t="shared" si="270"/>
        <v>0.2515</v>
      </c>
      <c r="AE195" s="18">
        <f t="shared" si="270"/>
        <v>8.344E-2</v>
      </c>
      <c r="AF195" s="18">
        <f t="shared" si="270"/>
        <v>0</v>
      </c>
      <c r="AG195" s="18">
        <f t="shared" si="270"/>
        <v>0</v>
      </c>
      <c r="AH195" s="18">
        <f t="shared" si="270"/>
        <v>0</v>
      </c>
      <c r="AI195" s="18">
        <f t="shared" ref="AI195" si="271">R195*R202</f>
        <v>0</v>
      </c>
      <c r="AJ195" s="19">
        <f>SUM(V195:AI195)</f>
        <v>12.09816</v>
      </c>
      <c r="AK195" s="2">
        <v>12.09816</v>
      </c>
    </row>
    <row r="196" spans="1:37" ht="15.75" customHeight="1" x14ac:dyDescent="0.3">
      <c r="A196" s="217"/>
      <c r="B196" s="2" t="s">
        <v>110</v>
      </c>
      <c r="C196" s="15"/>
      <c r="D196" s="15" t="s">
        <v>111</v>
      </c>
      <c r="E196" s="15" t="s">
        <v>111</v>
      </c>
      <c r="F196" s="15" t="s">
        <v>111</v>
      </c>
      <c r="G196" s="15" t="s">
        <v>125</v>
      </c>
      <c r="H196" s="15" t="s">
        <v>111</v>
      </c>
      <c r="I196" s="15" t="s">
        <v>111</v>
      </c>
      <c r="J196" s="15" t="s">
        <v>111</v>
      </c>
      <c r="K196" s="15" t="s">
        <v>111</v>
      </c>
      <c r="L196" s="15"/>
      <c r="M196" s="15"/>
      <c r="N196" s="15"/>
      <c r="O196" s="15"/>
      <c r="P196" s="15" t="s">
        <v>105</v>
      </c>
      <c r="Q196" s="15">
        <f t="shared" ref="Q196" si="272">COUNTIF(C196:N196,"Cortex")</f>
        <v>7</v>
      </c>
      <c r="S196" s="217"/>
      <c r="T196" s="217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23"/>
    </row>
    <row r="197" spans="1:37" ht="15.75" customHeight="1" x14ac:dyDescent="0.3">
      <c r="A197" s="217"/>
      <c r="B197" s="2" t="s">
        <v>99</v>
      </c>
      <c r="C197" s="15">
        <v>11.553000000000001</v>
      </c>
      <c r="D197" s="15">
        <v>15.433</v>
      </c>
      <c r="E197" s="15">
        <v>18.891999999999999</v>
      </c>
      <c r="F197" s="15">
        <v>21.363</v>
      </c>
      <c r="G197" s="15">
        <v>25.018999999999998</v>
      </c>
      <c r="H197" s="15">
        <v>26.838000000000001</v>
      </c>
      <c r="I197" s="15">
        <v>26.983000000000001</v>
      </c>
      <c r="J197" s="15">
        <v>28.239000000000001</v>
      </c>
      <c r="K197" s="15">
        <v>27.78</v>
      </c>
      <c r="L197" s="15">
        <v>27.722999999999999</v>
      </c>
      <c r="M197" s="15"/>
      <c r="N197" s="15"/>
      <c r="O197" s="15"/>
      <c r="P197" s="15" t="s">
        <v>106</v>
      </c>
      <c r="Q197" s="15">
        <f t="shared" ref="Q197" si="273">Q195-Q196</f>
        <v>2</v>
      </c>
      <c r="S197" s="217"/>
      <c r="T197" s="217"/>
      <c r="U197" s="8" t="s">
        <v>99</v>
      </c>
      <c r="V197" s="15">
        <f t="shared" ref="V197:AH197" si="274">C197*C202</f>
        <v>5.7765000000000004</v>
      </c>
      <c r="W197" s="15">
        <f t="shared" si="274"/>
        <v>7.4078399999999993</v>
      </c>
      <c r="X197" s="15">
        <f t="shared" si="274"/>
        <v>9.4459999999999997</v>
      </c>
      <c r="Y197" s="15">
        <f t="shared" si="274"/>
        <v>11.536020000000001</v>
      </c>
      <c r="Z197" s="15">
        <f t="shared" si="274"/>
        <v>11.50874</v>
      </c>
      <c r="AA197" s="15">
        <f t="shared" si="274"/>
        <v>13.419</v>
      </c>
      <c r="AB197" s="15">
        <f t="shared" si="274"/>
        <v>13.4915</v>
      </c>
      <c r="AC197" s="15">
        <f t="shared" si="274"/>
        <v>14.1195</v>
      </c>
      <c r="AD197" s="15">
        <f t="shared" si="274"/>
        <v>13.89</v>
      </c>
      <c r="AE197" s="15">
        <f t="shared" si="274"/>
        <v>15.524880000000001</v>
      </c>
      <c r="AF197" s="15">
        <f t="shared" si="274"/>
        <v>0</v>
      </c>
      <c r="AG197" s="15">
        <f t="shared" si="274"/>
        <v>0</v>
      </c>
      <c r="AH197" s="15">
        <f t="shared" si="274"/>
        <v>0</v>
      </c>
      <c r="AI197" s="15">
        <f t="shared" ref="AI197" si="275">R197*R202</f>
        <v>0</v>
      </c>
      <c r="AJ197" s="23">
        <f>SUM(V197:AI197)</f>
        <v>116.11998</v>
      </c>
      <c r="AK197" s="2">
        <v>116.11998</v>
      </c>
    </row>
    <row r="198" spans="1:37" ht="15.75" customHeight="1" x14ac:dyDescent="0.3">
      <c r="A198" s="217"/>
      <c r="B198" s="2" t="s">
        <v>100</v>
      </c>
      <c r="C198" s="15">
        <v>11.305999999999999</v>
      </c>
      <c r="D198" s="15">
        <v>15.944000000000001</v>
      </c>
      <c r="E198" s="15">
        <v>18.745999999999999</v>
      </c>
      <c r="F198" s="15">
        <v>21.105</v>
      </c>
      <c r="G198" s="15">
        <v>24.119</v>
      </c>
      <c r="H198" s="15">
        <v>27.059000000000001</v>
      </c>
      <c r="I198" s="15">
        <v>25.539000000000001</v>
      </c>
      <c r="J198" s="15">
        <v>27.12</v>
      </c>
      <c r="K198" s="15">
        <v>27.562000000000001</v>
      </c>
      <c r="L198" s="15">
        <v>27.128</v>
      </c>
      <c r="M198" s="15"/>
      <c r="N198" s="15"/>
      <c r="O198" s="15"/>
      <c r="P198" s="15" t="s">
        <v>113</v>
      </c>
      <c r="Q198" s="16">
        <f t="shared" ref="Q198" si="276">COUNTIF(C195:O195, "&gt;=0" )</f>
        <v>10</v>
      </c>
      <c r="S198" s="217"/>
      <c r="T198" s="217"/>
      <c r="U198" s="8" t="s">
        <v>100</v>
      </c>
      <c r="V198" s="15">
        <f t="shared" ref="V198:AH198" si="277">C198*C202</f>
        <v>5.6529999999999996</v>
      </c>
      <c r="W198" s="15">
        <f t="shared" si="277"/>
        <v>7.6531200000000004</v>
      </c>
      <c r="X198" s="15">
        <f t="shared" si="277"/>
        <v>9.3729999999999993</v>
      </c>
      <c r="Y198" s="15">
        <f t="shared" si="277"/>
        <v>11.396700000000001</v>
      </c>
      <c r="Z198" s="15">
        <f t="shared" si="277"/>
        <v>11.09474</v>
      </c>
      <c r="AA198" s="15">
        <f t="shared" si="277"/>
        <v>13.529500000000001</v>
      </c>
      <c r="AB198" s="15">
        <f t="shared" si="277"/>
        <v>12.769500000000001</v>
      </c>
      <c r="AC198" s="15">
        <f t="shared" si="277"/>
        <v>13.56</v>
      </c>
      <c r="AD198" s="15">
        <f t="shared" si="277"/>
        <v>13.781000000000001</v>
      </c>
      <c r="AE198" s="15">
        <f t="shared" si="277"/>
        <v>15.191680000000002</v>
      </c>
      <c r="AF198" s="15">
        <f t="shared" si="277"/>
        <v>0</v>
      </c>
      <c r="AG198" s="15">
        <f t="shared" si="277"/>
        <v>0</v>
      </c>
      <c r="AH198" s="15">
        <f t="shared" si="277"/>
        <v>0</v>
      </c>
      <c r="AI198" s="15">
        <f t="shared" ref="AI198" si="278">R198*R202</f>
        <v>0</v>
      </c>
      <c r="AJ198" s="23">
        <f>SUM(V198:AI198)</f>
        <v>114.00224000000001</v>
      </c>
      <c r="AK198" s="2">
        <v>114.00224000000001</v>
      </c>
    </row>
    <row r="199" spans="1:37" x14ac:dyDescent="0.3">
      <c r="A199" s="6"/>
      <c r="B199" s="2" t="s">
        <v>114</v>
      </c>
      <c r="C199" s="15">
        <v>11.305999999999999</v>
      </c>
      <c r="D199" s="15">
        <v>14.584000000000001</v>
      </c>
      <c r="E199" s="15">
        <v>15.910999999999998</v>
      </c>
      <c r="F199" s="15">
        <v>17.77</v>
      </c>
      <c r="G199" s="15">
        <v>19.481999999999999</v>
      </c>
      <c r="H199" s="15">
        <v>23.097000000000001</v>
      </c>
      <c r="I199" s="15">
        <v>21.784000000000002</v>
      </c>
      <c r="J199" s="15">
        <v>23.319000000000003</v>
      </c>
      <c r="K199" s="15">
        <v>27.059000000000001</v>
      </c>
      <c r="L199" s="15">
        <v>26.978999999999999</v>
      </c>
      <c r="M199" s="15"/>
      <c r="N199" s="15"/>
      <c r="O199" s="15"/>
      <c r="P199" s="15"/>
      <c r="Q199" s="15"/>
      <c r="S199" s="6"/>
      <c r="T199" s="6"/>
      <c r="U199" s="8" t="s">
        <v>101</v>
      </c>
      <c r="V199" s="15">
        <f t="shared" ref="V199:AH199" si="279">C199*C202</f>
        <v>5.6529999999999996</v>
      </c>
      <c r="W199" s="15">
        <f t="shared" si="279"/>
        <v>7.0003200000000003</v>
      </c>
      <c r="X199" s="15">
        <f t="shared" si="279"/>
        <v>7.9554999999999989</v>
      </c>
      <c r="Y199" s="15">
        <f t="shared" si="279"/>
        <v>9.5958000000000006</v>
      </c>
      <c r="Z199" s="15">
        <f t="shared" si="279"/>
        <v>8.9617199999999997</v>
      </c>
      <c r="AA199" s="15">
        <f t="shared" si="279"/>
        <v>11.548500000000001</v>
      </c>
      <c r="AB199" s="15">
        <f t="shared" si="279"/>
        <v>10.892000000000001</v>
      </c>
      <c r="AC199" s="15">
        <f t="shared" si="279"/>
        <v>11.659500000000001</v>
      </c>
      <c r="AD199" s="15">
        <f t="shared" si="279"/>
        <v>13.529500000000001</v>
      </c>
      <c r="AE199" s="15">
        <f t="shared" si="279"/>
        <v>15.10824</v>
      </c>
      <c r="AF199" s="15">
        <f t="shared" si="279"/>
        <v>0</v>
      </c>
      <c r="AG199" s="15">
        <f t="shared" si="279"/>
        <v>0</v>
      </c>
      <c r="AH199" s="15">
        <f t="shared" si="279"/>
        <v>0</v>
      </c>
      <c r="AI199" s="15">
        <f t="shared" ref="AI199" si="280">R199*R202</f>
        <v>0</v>
      </c>
      <c r="AJ199" s="23">
        <f>SUM(V199:AI199)</f>
        <v>101.90408000000001</v>
      </c>
      <c r="AK199" s="2">
        <v>101.90408000000001</v>
      </c>
    </row>
    <row r="200" spans="1:37" x14ac:dyDescent="0.3">
      <c r="A200" s="6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S200" s="6"/>
      <c r="T200" s="6"/>
      <c r="U200" s="24" t="s">
        <v>115</v>
      </c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19">
        <f>(AJ197-AJ198)/AJ197*100</f>
        <v>1.8237516058821088</v>
      </c>
      <c r="AK200" s="2">
        <v>1.8237516058821088</v>
      </c>
    </row>
    <row r="201" spans="1:37" x14ac:dyDescent="0.3">
      <c r="A201" s="6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S201" s="6"/>
      <c r="T201" s="6"/>
      <c r="U201" s="24" t="s">
        <v>103</v>
      </c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19">
        <f>AJ197-AJ199</f>
        <v>14.215899999999991</v>
      </c>
      <c r="AK201" s="2">
        <v>14.215899999999991</v>
      </c>
    </row>
    <row r="202" spans="1:37" ht="16.2" thickBot="1" x14ac:dyDescent="0.35">
      <c r="A202" s="6"/>
      <c r="B202" s="2" t="s">
        <v>32</v>
      </c>
      <c r="C202" s="15">
        <v>0.5</v>
      </c>
      <c r="D202" s="15">
        <v>0.48</v>
      </c>
      <c r="E202" s="15">
        <v>0.5</v>
      </c>
      <c r="F202" s="15">
        <v>0.54</v>
      </c>
      <c r="G202" s="15">
        <v>0.46</v>
      </c>
      <c r="H202" s="15">
        <v>0.5</v>
      </c>
      <c r="I202" s="15">
        <v>0.5</v>
      </c>
      <c r="J202" s="15">
        <v>0.5</v>
      </c>
      <c r="K202" s="15">
        <v>0.5</v>
      </c>
      <c r="L202" s="15">
        <v>0.56000000000000005</v>
      </c>
      <c r="M202" s="15"/>
      <c r="N202" s="15"/>
      <c r="O202" s="15"/>
      <c r="P202" s="15"/>
      <c r="Q202" s="15"/>
      <c r="R202" s="16"/>
      <c r="S202" s="6"/>
      <c r="T202" s="6"/>
      <c r="U202" s="8" t="s">
        <v>97</v>
      </c>
      <c r="V202" s="219"/>
      <c r="W202" s="219"/>
      <c r="X202" s="219"/>
      <c r="Y202" s="219"/>
      <c r="Z202" s="219"/>
      <c r="AA202" s="219"/>
      <c r="AB202" s="219"/>
      <c r="AC202" s="219"/>
      <c r="AD202" s="219"/>
      <c r="AE202" s="219"/>
      <c r="AF202" s="219"/>
      <c r="AG202" s="219"/>
      <c r="AH202" s="219"/>
      <c r="AI202" s="220"/>
      <c r="AJ202" s="26"/>
    </row>
    <row r="203" spans="1:37" ht="15.75" customHeight="1" x14ac:dyDescent="0.3">
      <c r="A203" s="216" t="s">
        <v>155</v>
      </c>
      <c r="B203" s="13" t="s">
        <v>98</v>
      </c>
      <c r="C203" s="14">
        <v>1.5149999999999999</v>
      </c>
      <c r="D203" s="14">
        <v>3.5110000000000001</v>
      </c>
      <c r="E203" s="14">
        <v>3.5630000000000002</v>
      </c>
      <c r="F203" s="14">
        <v>3.387</v>
      </c>
      <c r="G203" s="14">
        <v>3.573</v>
      </c>
      <c r="H203" s="14">
        <v>3.4279999999999999</v>
      </c>
      <c r="I203" s="14">
        <v>3.51</v>
      </c>
      <c r="J203" s="14">
        <v>3.89</v>
      </c>
      <c r="K203" s="14">
        <v>2.8769999999999998</v>
      </c>
      <c r="L203" s="14">
        <v>0.64300000000000002</v>
      </c>
      <c r="M203" s="14">
        <v>0.25700000000000001</v>
      </c>
      <c r="N203" s="14"/>
      <c r="O203" s="14"/>
      <c r="P203" s="15" t="s">
        <v>109</v>
      </c>
      <c r="Q203" s="16">
        <f t="shared" ref="Q203" si="281">COUNTIF(C203:N203, "&gt;0" )</f>
        <v>11</v>
      </c>
      <c r="S203" s="216" t="s">
        <v>155</v>
      </c>
      <c r="T203" s="216" t="s">
        <v>2</v>
      </c>
      <c r="U203" s="17" t="s">
        <v>98</v>
      </c>
      <c r="V203" s="18">
        <f t="shared" ref="V203:AH203" si="282">C203*C210</f>
        <v>0.75749999999999995</v>
      </c>
      <c r="W203" s="18">
        <f t="shared" si="282"/>
        <v>1.6150600000000002</v>
      </c>
      <c r="X203" s="18">
        <f t="shared" si="282"/>
        <v>1.9240200000000003</v>
      </c>
      <c r="Y203" s="18">
        <f t="shared" si="282"/>
        <v>1.5580200000000002</v>
      </c>
      <c r="Z203" s="18">
        <f t="shared" si="282"/>
        <v>1.8579600000000001</v>
      </c>
      <c r="AA203" s="18">
        <f t="shared" si="282"/>
        <v>1.64544</v>
      </c>
      <c r="AB203" s="18">
        <f t="shared" si="282"/>
        <v>1.8251999999999999</v>
      </c>
      <c r="AC203" s="18">
        <f t="shared" si="282"/>
        <v>1.8672</v>
      </c>
      <c r="AD203" s="18">
        <f t="shared" si="282"/>
        <v>1.4384999999999999</v>
      </c>
      <c r="AE203" s="18">
        <f t="shared" si="282"/>
        <v>0.33436000000000005</v>
      </c>
      <c r="AF203" s="18">
        <f t="shared" si="282"/>
        <v>0.12336</v>
      </c>
      <c r="AG203" s="18">
        <f t="shared" si="282"/>
        <v>0</v>
      </c>
      <c r="AH203" s="18">
        <f t="shared" si="282"/>
        <v>0</v>
      </c>
      <c r="AI203" s="18">
        <f t="shared" ref="AI203" si="283">R203*R210</f>
        <v>0</v>
      </c>
      <c r="AJ203" s="19">
        <f>SUM(V203:AI203)</f>
        <v>14.946620000000001</v>
      </c>
      <c r="AK203" s="2">
        <v>14.946620000000001</v>
      </c>
    </row>
    <row r="204" spans="1:37" ht="15.75" customHeight="1" x14ac:dyDescent="0.3">
      <c r="A204" s="217"/>
      <c r="B204" s="2" t="s">
        <v>110</v>
      </c>
      <c r="C204" s="15" t="s">
        <v>111</v>
      </c>
      <c r="D204" s="15" t="s">
        <v>128</v>
      </c>
      <c r="E204" s="15" t="s">
        <v>128</v>
      </c>
      <c r="F204" s="15" t="s">
        <v>128</v>
      </c>
      <c r="G204" s="15" t="s">
        <v>128</v>
      </c>
      <c r="H204" s="15" t="s">
        <v>128</v>
      </c>
      <c r="I204" s="15" t="s">
        <v>112</v>
      </c>
      <c r="J204" s="15" t="s">
        <v>112</v>
      </c>
      <c r="K204" s="15" t="s">
        <v>111</v>
      </c>
      <c r="L204" s="15" t="s">
        <v>111</v>
      </c>
      <c r="M204" s="15" t="s">
        <v>111</v>
      </c>
      <c r="N204" s="15"/>
      <c r="O204" s="15"/>
      <c r="P204" s="15" t="s">
        <v>105</v>
      </c>
      <c r="Q204" s="15">
        <f t="shared" ref="Q204" si="284">COUNTIF(C204:N204,"Cortex")</f>
        <v>4</v>
      </c>
      <c r="S204" s="217"/>
      <c r="T204" s="217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23"/>
    </row>
    <row r="205" spans="1:37" ht="15.75" customHeight="1" x14ac:dyDescent="0.3">
      <c r="A205" s="217"/>
      <c r="B205" s="2" t="s">
        <v>99</v>
      </c>
      <c r="C205" s="15">
        <v>13.102</v>
      </c>
      <c r="D205" s="15">
        <v>18.227</v>
      </c>
      <c r="E205" s="15">
        <v>21.036999999999999</v>
      </c>
      <c r="F205" s="15">
        <v>23.198</v>
      </c>
      <c r="G205" s="15">
        <v>24.693000000000001</v>
      </c>
      <c r="H205" s="15">
        <v>24.838000000000001</v>
      </c>
      <c r="I205" s="15">
        <v>26.295000000000002</v>
      </c>
      <c r="J205" s="15">
        <v>27.064</v>
      </c>
      <c r="K205" s="15">
        <v>27.155999999999999</v>
      </c>
      <c r="L205" s="15">
        <v>27.09</v>
      </c>
      <c r="M205" s="15">
        <v>24.36</v>
      </c>
      <c r="N205" s="15"/>
      <c r="O205" s="15"/>
      <c r="P205" s="15" t="s">
        <v>106</v>
      </c>
      <c r="Q205" s="15">
        <f t="shared" ref="Q205" si="285">Q203-Q204</f>
        <v>7</v>
      </c>
      <c r="S205" s="217"/>
      <c r="T205" s="217"/>
      <c r="U205" s="8" t="s">
        <v>99</v>
      </c>
      <c r="V205" s="15">
        <f t="shared" ref="V205:AH205" si="286">C205*C210</f>
        <v>6.5510000000000002</v>
      </c>
      <c r="W205" s="15">
        <f t="shared" si="286"/>
        <v>8.3844200000000004</v>
      </c>
      <c r="X205" s="15">
        <f t="shared" si="286"/>
        <v>11.35998</v>
      </c>
      <c r="Y205" s="15">
        <f t="shared" si="286"/>
        <v>10.67108</v>
      </c>
      <c r="Z205" s="15">
        <f t="shared" si="286"/>
        <v>12.84036</v>
      </c>
      <c r="AA205" s="15">
        <f t="shared" si="286"/>
        <v>11.92224</v>
      </c>
      <c r="AB205" s="15">
        <f t="shared" si="286"/>
        <v>13.673400000000001</v>
      </c>
      <c r="AC205" s="15">
        <f t="shared" si="286"/>
        <v>12.99072</v>
      </c>
      <c r="AD205" s="15">
        <f t="shared" si="286"/>
        <v>13.577999999999999</v>
      </c>
      <c r="AE205" s="15">
        <f t="shared" si="286"/>
        <v>14.0868</v>
      </c>
      <c r="AF205" s="15">
        <f t="shared" si="286"/>
        <v>11.6928</v>
      </c>
      <c r="AG205" s="15">
        <f t="shared" si="286"/>
        <v>0</v>
      </c>
      <c r="AH205" s="15">
        <f t="shared" si="286"/>
        <v>0</v>
      </c>
      <c r="AI205" s="15">
        <f t="shared" ref="AI205" si="287">R205*R210</f>
        <v>0</v>
      </c>
      <c r="AJ205" s="23">
        <f>SUM(V205:AI205)</f>
        <v>127.75080000000001</v>
      </c>
      <c r="AK205" s="2">
        <v>127.75080000000001</v>
      </c>
    </row>
    <row r="206" spans="1:37" ht="15.75" customHeight="1" x14ac:dyDescent="0.3">
      <c r="A206" s="217"/>
      <c r="B206" s="2" t="s">
        <v>100</v>
      </c>
      <c r="C206" s="15">
        <v>11.964</v>
      </c>
      <c r="D206" s="15">
        <v>18.042999999999999</v>
      </c>
      <c r="E206" s="15">
        <v>20.077000000000002</v>
      </c>
      <c r="F206" s="15">
        <v>20.846</v>
      </c>
      <c r="G206" s="15">
        <v>22.776</v>
      </c>
      <c r="H206" s="15">
        <v>24.297000000000001</v>
      </c>
      <c r="I206" s="15">
        <v>25.981000000000002</v>
      </c>
      <c r="J206" s="15">
        <v>27.225000000000001</v>
      </c>
      <c r="K206" s="15">
        <v>26.856999999999999</v>
      </c>
      <c r="L206" s="15">
        <v>26.305</v>
      </c>
      <c r="M206" s="15">
        <v>23.628</v>
      </c>
      <c r="N206" s="15"/>
      <c r="O206" s="15"/>
      <c r="P206" s="15" t="s">
        <v>113</v>
      </c>
      <c r="Q206" s="16">
        <f t="shared" ref="Q206" si="288">COUNTIF(C203:O203, "&gt;=0" )</f>
        <v>11</v>
      </c>
      <c r="S206" s="217"/>
      <c r="T206" s="217"/>
      <c r="U206" s="8" t="s">
        <v>100</v>
      </c>
      <c r="V206" s="15">
        <f t="shared" ref="V206:AH206" si="289">C206*C210</f>
        <v>5.9820000000000002</v>
      </c>
      <c r="W206" s="15">
        <f t="shared" si="289"/>
        <v>8.2997800000000002</v>
      </c>
      <c r="X206" s="15">
        <f t="shared" si="289"/>
        <v>10.841580000000002</v>
      </c>
      <c r="Y206" s="15">
        <f t="shared" si="289"/>
        <v>9.5891599999999997</v>
      </c>
      <c r="Z206" s="15">
        <f t="shared" si="289"/>
        <v>11.84352</v>
      </c>
      <c r="AA206" s="15">
        <f t="shared" si="289"/>
        <v>11.662559999999999</v>
      </c>
      <c r="AB206" s="15">
        <f t="shared" si="289"/>
        <v>13.510120000000001</v>
      </c>
      <c r="AC206" s="15">
        <f t="shared" si="289"/>
        <v>13.068</v>
      </c>
      <c r="AD206" s="15">
        <f t="shared" si="289"/>
        <v>13.4285</v>
      </c>
      <c r="AE206" s="15">
        <f t="shared" si="289"/>
        <v>13.678600000000001</v>
      </c>
      <c r="AF206" s="15">
        <f t="shared" si="289"/>
        <v>11.34144</v>
      </c>
      <c r="AG206" s="15">
        <f t="shared" si="289"/>
        <v>0</v>
      </c>
      <c r="AH206" s="15">
        <f t="shared" si="289"/>
        <v>0</v>
      </c>
      <c r="AI206" s="15">
        <f t="shared" ref="AI206" si="290">R206*R210</f>
        <v>0</v>
      </c>
      <c r="AJ206" s="23">
        <f>SUM(V206:AI206)</f>
        <v>123.24526000000002</v>
      </c>
      <c r="AK206" s="2">
        <v>123.24526000000002</v>
      </c>
    </row>
    <row r="207" spans="1:37" x14ac:dyDescent="0.3">
      <c r="A207" s="6"/>
      <c r="B207" s="2" t="s">
        <v>114</v>
      </c>
      <c r="C207" s="15">
        <v>10.449</v>
      </c>
      <c r="D207" s="15">
        <v>14.532</v>
      </c>
      <c r="E207" s="15">
        <v>16.514000000000003</v>
      </c>
      <c r="F207" s="15">
        <v>17.459</v>
      </c>
      <c r="G207" s="15">
        <v>19.202999999999999</v>
      </c>
      <c r="H207" s="15">
        <v>20.869</v>
      </c>
      <c r="I207" s="15">
        <v>22.471000000000004</v>
      </c>
      <c r="J207" s="15">
        <v>23.335000000000001</v>
      </c>
      <c r="K207" s="15">
        <v>23.98</v>
      </c>
      <c r="L207" s="15">
        <v>25.661999999999999</v>
      </c>
      <c r="M207" s="15">
        <v>23.370999999999999</v>
      </c>
      <c r="N207" s="15"/>
      <c r="O207" s="15"/>
      <c r="P207" s="15"/>
      <c r="Q207" s="15"/>
      <c r="S207" s="6"/>
      <c r="T207" s="6"/>
      <c r="U207" s="8" t="s">
        <v>101</v>
      </c>
      <c r="V207" s="15">
        <f t="shared" ref="V207:AH207" si="291">C207*C210</f>
        <v>5.2244999999999999</v>
      </c>
      <c r="W207" s="15">
        <f t="shared" si="291"/>
        <v>6.6847200000000004</v>
      </c>
      <c r="X207" s="15">
        <f t="shared" si="291"/>
        <v>8.9175600000000017</v>
      </c>
      <c r="Y207" s="15">
        <f t="shared" si="291"/>
        <v>8.0311400000000006</v>
      </c>
      <c r="Z207" s="15">
        <f t="shared" si="291"/>
        <v>9.9855599999999995</v>
      </c>
      <c r="AA207" s="15">
        <f t="shared" si="291"/>
        <v>10.01712</v>
      </c>
      <c r="AB207" s="15">
        <f t="shared" si="291"/>
        <v>11.684920000000002</v>
      </c>
      <c r="AC207" s="15">
        <f t="shared" si="291"/>
        <v>11.200799999999999</v>
      </c>
      <c r="AD207" s="15">
        <f t="shared" si="291"/>
        <v>11.99</v>
      </c>
      <c r="AE207" s="15">
        <f t="shared" si="291"/>
        <v>13.344239999999999</v>
      </c>
      <c r="AF207" s="15">
        <f t="shared" si="291"/>
        <v>11.218079999999999</v>
      </c>
      <c r="AG207" s="15">
        <f t="shared" si="291"/>
        <v>0</v>
      </c>
      <c r="AH207" s="15">
        <f t="shared" si="291"/>
        <v>0</v>
      </c>
      <c r="AI207" s="15">
        <f t="shared" ref="AI207" si="292">R207*R210</f>
        <v>0</v>
      </c>
      <c r="AJ207" s="23">
        <f>SUM(V207:AI207)</f>
        <v>108.29863999999999</v>
      </c>
      <c r="AK207" s="2">
        <v>108.29863999999999</v>
      </c>
    </row>
    <row r="208" spans="1:37" x14ac:dyDescent="0.3">
      <c r="A208" s="6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S208" s="6"/>
      <c r="T208" s="6"/>
      <c r="U208" s="24" t="s">
        <v>115</v>
      </c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19">
        <f>(AJ205-AJ206)/AJ205*100</f>
        <v>3.5268194015223351</v>
      </c>
      <c r="AK208" s="2">
        <v>3.5268194015223351</v>
      </c>
    </row>
    <row r="209" spans="1:37" x14ac:dyDescent="0.3">
      <c r="A209" s="6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S209" s="6"/>
      <c r="T209" s="6"/>
      <c r="U209" s="24" t="s">
        <v>103</v>
      </c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19">
        <f>AJ205-AJ207</f>
        <v>19.452160000000021</v>
      </c>
      <c r="AK209" s="2">
        <v>19.452160000000021</v>
      </c>
    </row>
    <row r="210" spans="1:37" ht="16.2" thickBot="1" x14ac:dyDescent="0.35">
      <c r="A210" s="6"/>
      <c r="B210" s="2" t="s">
        <v>32</v>
      </c>
      <c r="C210" s="15">
        <v>0.5</v>
      </c>
      <c r="D210" s="15">
        <v>0.46</v>
      </c>
      <c r="E210" s="15">
        <v>0.54</v>
      </c>
      <c r="F210" s="15">
        <v>0.46</v>
      </c>
      <c r="G210" s="15">
        <v>0.52</v>
      </c>
      <c r="H210" s="15">
        <v>0.48</v>
      </c>
      <c r="I210" s="15">
        <v>0.52</v>
      </c>
      <c r="J210" s="15">
        <v>0.48</v>
      </c>
      <c r="K210" s="15">
        <v>0.5</v>
      </c>
      <c r="L210" s="15">
        <v>0.52</v>
      </c>
      <c r="M210" s="15">
        <v>0.48</v>
      </c>
      <c r="N210" s="15"/>
      <c r="O210" s="15"/>
      <c r="P210" s="15"/>
      <c r="Q210" s="15"/>
      <c r="R210" s="16"/>
      <c r="S210" s="6"/>
      <c r="T210" s="6"/>
      <c r="U210" s="8" t="s">
        <v>97</v>
      </c>
      <c r="V210" s="219"/>
      <c r="W210" s="219"/>
      <c r="X210" s="219"/>
      <c r="Y210" s="219"/>
      <c r="Z210" s="219"/>
      <c r="AA210" s="219"/>
      <c r="AB210" s="219"/>
      <c r="AC210" s="219"/>
      <c r="AD210" s="219"/>
      <c r="AE210" s="219"/>
      <c r="AF210" s="219"/>
      <c r="AG210" s="219"/>
      <c r="AH210" s="219"/>
      <c r="AI210" s="220"/>
      <c r="AJ210" s="26"/>
    </row>
    <row r="211" spans="1:37" ht="15.75" customHeight="1" x14ac:dyDescent="0.3">
      <c r="A211" s="216" t="s">
        <v>156</v>
      </c>
      <c r="B211" s="13" t="s">
        <v>98</v>
      </c>
      <c r="C211" s="14">
        <v>0</v>
      </c>
      <c r="D211" s="14">
        <v>0.55800000000000005</v>
      </c>
      <c r="E211" s="14">
        <v>3.4319999999999999</v>
      </c>
      <c r="F211" s="14">
        <v>3.3260000000000001</v>
      </c>
      <c r="G211" s="14">
        <v>2.7309999999999999</v>
      </c>
      <c r="H211" s="14">
        <v>3.2440000000000002</v>
      </c>
      <c r="I211" s="14">
        <v>2.2170000000000001</v>
      </c>
      <c r="J211" s="14">
        <v>2.4550000000000001</v>
      </c>
      <c r="K211" s="14">
        <v>2.4590000000000001</v>
      </c>
      <c r="L211" s="14"/>
      <c r="M211" s="14"/>
      <c r="N211" s="14"/>
      <c r="O211" s="14"/>
      <c r="P211" s="15" t="s">
        <v>109</v>
      </c>
      <c r="Q211" s="16">
        <f t="shared" ref="Q211" si="293">COUNTIF(C211:N211, "&gt;0" )</f>
        <v>8</v>
      </c>
      <c r="S211" s="216" t="s">
        <v>156</v>
      </c>
      <c r="T211" s="216" t="s">
        <v>2</v>
      </c>
      <c r="U211" s="17" t="s">
        <v>98</v>
      </c>
      <c r="V211" s="18">
        <f t="shared" ref="V211:AH211" si="294">C211*C218</f>
        <v>0</v>
      </c>
      <c r="W211" s="18">
        <f t="shared" si="294"/>
        <v>0.27900000000000003</v>
      </c>
      <c r="X211" s="18">
        <f t="shared" si="294"/>
        <v>1.6473599999999999</v>
      </c>
      <c r="Y211" s="18">
        <f t="shared" si="294"/>
        <v>1.5964799999999999</v>
      </c>
      <c r="Z211" s="18">
        <f t="shared" si="294"/>
        <v>1.4747399999999999</v>
      </c>
      <c r="AA211" s="18">
        <f t="shared" si="294"/>
        <v>1.4922400000000002</v>
      </c>
      <c r="AB211" s="18">
        <f t="shared" si="294"/>
        <v>1.1971800000000001</v>
      </c>
      <c r="AC211" s="18">
        <f t="shared" si="294"/>
        <v>1.1293000000000002</v>
      </c>
      <c r="AD211" s="18">
        <f t="shared" si="294"/>
        <v>1.27868</v>
      </c>
      <c r="AE211" s="18">
        <f t="shared" si="294"/>
        <v>0</v>
      </c>
      <c r="AF211" s="18">
        <f t="shared" si="294"/>
        <v>0</v>
      </c>
      <c r="AG211" s="18">
        <f t="shared" si="294"/>
        <v>0</v>
      </c>
      <c r="AH211" s="18">
        <f t="shared" si="294"/>
        <v>0</v>
      </c>
      <c r="AI211" s="18">
        <f t="shared" ref="AI211" si="295">R211*R218</f>
        <v>0</v>
      </c>
      <c r="AJ211" s="19">
        <f>SUM(V211:AI211)</f>
        <v>10.09498</v>
      </c>
      <c r="AK211" s="2">
        <v>10.09498</v>
      </c>
    </row>
    <row r="212" spans="1:37" ht="15.75" customHeight="1" x14ac:dyDescent="0.3">
      <c r="A212" s="217"/>
      <c r="B212" s="2" t="s">
        <v>110</v>
      </c>
      <c r="C212" s="15"/>
      <c r="D212" s="15" t="s">
        <v>111</v>
      </c>
      <c r="E212" s="15" t="s">
        <v>111</v>
      </c>
      <c r="F212" s="15" t="s">
        <v>111</v>
      </c>
      <c r="G212" s="15" t="s">
        <v>111</v>
      </c>
      <c r="H212" s="15" t="s">
        <v>111</v>
      </c>
      <c r="I212" s="15" t="s">
        <v>111</v>
      </c>
      <c r="J212" s="15" t="s">
        <v>111</v>
      </c>
      <c r="K212" s="15" t="s">
        <v>111</v>
      </c>
      <c r="L212" s="15"/>
      <c r="M212" s="15"/>
      <c r="N212" s="15"/>
      <c r="O212" s="15"/>
      <c r="P212" s="15" t="s">
        <v>105</v>
      </c>
      <c r="Q212" s="15">
        <f t="shared" ref="Q212" si="296">COUNTIF(C212:N212,"Cortex")</f>
        <v>8</v>
      </c>
      <c r="S212" s="217"/>
      <c r="T212" s="217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23"/>
    </row>
    <row r="213" spans="1:37" ht="15.75" customHeight="1" x14ac:dyDescent="0.3">
      <c r="A213" s="217"/>
      <c r="B213" s="2" t="s">
        <v>99</v>
      </c>
      <c r="C213" s="15">
        <v>11.221</v>
      </c>
      <c r="D213" s="15">
        <v>14.455</v>
      </c>
      <c r="E213" s="15">
        <v>17.446999999999999</v>
      </c>
      <c r="F213" s="15">
        <v>19.062000000000001</v>
      </c>
      <c r="G213" s="15">
        <v>20.913</v>
      </c>
      <c r="H213" s="15">
        <v>23.641000000000002</v>
      </c>
      <c r="I213" s="15">
        <v>25.291</v>
      </c>
      <c r="J213" s="15">
        <v>26.033000000000001</v>
      </c>
      <c r="K213" s="15">
        <v>27.93</v>
      </c>
      <c r="L213" s="15"/>
      <c r="M213" s="15"/>
      <c r="N213" s="15"/>
      <c r="O213" s="15"/>
      <c r="P213" s="15" t="s">
        <v>106</v>
      </c>
      <c r="Q213" s="15">
        <f t="shared" ref="Q213" si="297">Q211-Q212</f>
        <v>0</v>
      </c>
      <c r="S213" s="217"/>
      <c r="T213" s="217"/>
      <c r="U213" s="8" t="s">
        <v>99</v>
      </c>
      <c r="V213" s="15">
        <f t="shared" ref="V213:AH213" si="298">C213*C218</f>
        <v>5.6105</v>
      </c>
      <c r="W213" s="15">
        <f t="shared" si="298"/>
        <v>7.2275</v>
      </c>
      <c r="X213" s="15">
        <f t="shared" si="298"/>
        <v>8.3745599999999989</v>
      </c>
      <c r="Y213" s="15">
        <f t="shared" si="298"/>
        <v>9.1497600000000006</v>
      </c>
      <c r="Z213" s="15">
        <f t="shared" si="298"/>
        <v>11.29302</v>
      </c>
      <c r="AA213" s="15">
        <f t="shared" si="298"/>
        <v>10.874860000000002</v>
      </c>
      <c r="AB213" s="15">
        <f t="shared" si="298"/>
        <v>13.657140000000002</v>
      </c>
      <c r="AC213" s="15">
        <f t="shared" si="298"/>
        <v>11.975180000000002</v>
      </c>
      <c r="AD213" s="15">
        <f t="shared" si="298"/>
        <v>14.5236</v>
      </c>
      <c r="AE213" s="15">
        <f t="shared" si="298"/>
        <v>0</v>
      </c>
      <c r="AF213" s="15">
        <f t="shared" si="298"/>
        <v>0</v>
      </c>
      <c r="AG213" s="15">
        <f t="shared" si="298"/>
        <v>0</v>
      </c>
      <c r="AH213" s="15">
        <f t="shared" si="298"/>
        <v>0</v>
      </c>
      <c r="AI213" s="15">
        <f t="shared" ref="AI213" si="299">R213*R218</f>
        <v>0</v>
      </c>
      <c r="AJ213" s="23">
        <f>SUM(V213:AI213)</f>
        <v>92.686120000000003</v>
      </c>
      <c r="AK213" s="2">
        <v>92.686120000000003</v>
      </c>
    </row>
    <row r="214" spans="1:37" ht="15.75" customHeight="1" x14ac:dyDescent="0.3">
      <c r="A214" s="217"/>
      <c r="B214" s="2" t="s">
        <v>100</v>
      </c>
      <c r="C214" s="15">
        <v>11.444000000000001</v>
      </c>
      <c r="D214" s="15">
        <v>13.943</v>
      </c>
      <c r="E214" s="15">
        <v>17.155999999999999</v>
      </c>
      <c r="F214" s="15">
        <v>19.423999999999999</v>
      </c>
      <c r="G214" s="15">
        <v>21.864999999999998</v>
      </c>
      <c r="H214" s="15">
        <v>23.949000000000002</v>
      </c>
      <c r="I214" s="15">
        <v>25.238</v>
      </c>
      <c r="J214" s="15">
        <v>27.009</v>
      </c>
      <c r="K214" s="15">
        <v>28.274000000000001</v>
      </c>
      <c r="L214" s="15"/>
      <c r="M214" s="15"/>
      <c r="N214" s="15"/>
      <c r="O214" s="15"/>
      <c r="P214" s="15" t="s">
        <v>113</v>
      </c>
      <c r="Q214" s="16">
        <f t="shared" ref="Q214" si="300">COUNTIF(C211:O211, "&gt;=0" )</f>
        <v>9</v>
      </c>
      <c r="S214" s="217"/>
      <c r="T214" s="217"/>
      <c r="U214" s="8" t="s">
        <v>100</v>
      </c>
      <c r="V214" s="15">
        <f t="shared" ref="V214:AH214" si="301">C214*C218</f>
        <v>5.7220000000000004</v>
      </c>
      <c r="W214" s="15">
        <f t="shared" si="301"/>
        <v>6.9714999999999998</v>
      </c>
      <c r="X214" s="15">
        <f t="shared" si="301"/>
        <v>8.2348799999999986</v>
      </c>
      <c r="Y214" s="15">
        <f t="shared" si="301"/>
        <v>9.3235200000000003</v>
      </c>
      <c r="Z214" s="15">
        <f t="shared" si="301"/>
        <v>11.8071</v>
      </c>
      <c r="AA214" s="15">
        <f t="shared" si="301"/>
        <v>11.016540000000001</v>
      </c>
      <c r="AB214" s="15">
        <f t="shared" si="301"/>
        <v>13.62852</v>
      </c>
      <c r="AC214" s="15">
        <f t="shared" si="301"/>
        <v>12.424140000000001</v>
      </c>
      <c r="AD214" s="15">
        <f t="shared" si="301"/>
        <v>14.702480000000001</v>
      </c>
      <c r="AE214" s="15">
        <f t="shared" si="301"/>
        <v>0</v>
      </c>
      <c r="AF214" s="15">
        <f t="shared" si="301"/>
        <v>0</v>
      </c>
      <c r="AG214" s="15">
        <f t="shared" si="301"/>
        <v>0</v>
      </c>
      <c r="AH214" s="15">
        <f t="shared" si="301"/>
        <v>0</v>
      </c>
      <c r="AI214" s="15">
        <f t="shared" ref="AI214" si="302">R214*R218</f>
        <v>0</v>
      </c>
      <c r="AJ214" s="23">
        <f>SUM(V214:AI214)</f>
        <v>93.830680000000001</v>
      </c>
      <c r="AK214" s="2">
        <v>93.830680000000001</v>
      </c>
    </row>
    <row r="215" spans="1:37" x14ac:dyDescent="0.3">
      <c r="A215" s="6"/>
      <c r="B215" s="2" t="s">
        <v>114</v>
      </c>
      <c r="C215" s="15">
        <v>11.444000000000001</v>
      </c>
      <c r="D215" s="15">
        <v>13.385</v>
      </c>
      <c r="E215" s="15">
        <v>13.723999999999998</v>
      </c>
      <c r="F215" s="15">
        <v>16.097999999999999</v>
      </c>
      <c r="G215" s="15">
        <v>19.134</v>
      </c>
      <c r="H215" s="15">
        <v>20.705000000000002</v>
      </c>
      <c r="I215" s="15">
        <v>23.021000000000001</v>
      </c>
      <c r="J215" s="15">
        <v>24.554000000000002</v>
      </c>
      <c r="K215" s="15">
        <v>25.815000000000001</v>
      </c>
      <c r="L215" s="15"/>
      <c r="M215" s="15"/>
      <c r="N215" s="15"/>
      <c r="O215" s="15"/>
      <c r="P215" s="15"/>
      <c r="Q215" s="15"/>
      <c r="S215" s="6"/>
      <c r="T215" s="6"/>
      <c r="U215" s="8" t="s">
        <v>101</v>
      </c>
      <c r="V215" s="15">
        <f t="shared" ref="V215:AH215" si="303">C215*C218</f>
        <v>5.7220000000000004</v>
      </c>
      <c r="W215" s="15">
        <f t="shared" si="303"/>
        <v>6.6924999999999999</v>
      </c>
      <c r="X215" s="15">
        <f t="shared" si="303"/>
        <v>6.5875199999999987</v>
      </c>
      <c r="Y215" s="15">
        <f t="shared" si="303"/>
        <v>7.7270399999999988</v>
      </c>
      <c r="Z215" s="15">
        <f t="shared" si="303"/>
        <v>10.332360000000001</v>
      </c>
      <c r="AA215" s="15">
        <f t="shared" si="303"/>
        <v>9.524300000000002</v>
      </c>
      <c r="AB215" s="15">
        <f t="shared" si="303"/>
        <v>12.431340000000001</v>
      </c>
      <c r="AC215" s="15">
        <f t="shared" si="303"/>
        <v>11.294840000000001</v>
      </c>
      <c r="AD215" s="15">
        <f t="shared" si="303"/>
        <v>13.423800000000002</v>
      </c>
      <c r="AE215" s="15">
        <f t="shared" si="303"/>
        <v>0</v>
      </c>
      <c r="AF215" s="15">
        <f t="shared" si="303"/>
        <v>0</v>
      </c>
      <c r="AG215" s="15">
        <f t="shared" si="303"/>
        <v>0</v>
      </c>
      <c r="AH215" s="15">
        <f t="shared" si="303"/>
        <v>0</v>
      </c>
      <c r="AI215" s="15">
        <f t="shared" ref="AI215" si="304">R215*R218</f>
        <v>0</v>
      </c>
      <c r="AJ215" s="23">
        <f>SUM(V215:AI215)</f>
        <v>83.735700000000008</v>
      </c>
      <c r="AK215" s="2">
        <v>83.735700000000008</v>
      </c>
    </row>
    <row r="216" spans="1:37" x14ac:dyDescent="0.3">
      <c r="A216" s="6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S216" s="6"/>
      <c r="T216" s="6"/>
      <c r="U216" s="24" t="s">
        <v>115</v>
      </c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19">
        <f>(AJ213-AJ214)/AJ213*100</f>
        <v>-1.2348774552219883</v>
      </c>
      <c r="AK216" s="2">
        <v>-1.2348774552219883</v>
      </c>
    </row>
    <row r="217" spans="1:37" x14ac:dyDescent="0.3">
      <c r="A217" s="6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S217" s="6"/>
      <c r="T217" s="6"/>
      <c r="U217" s="24" t="s">
        <v>103</v>
      </c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19">
        <f>AJ213-AJ215</f>
        <v>8.950419999999994</v>
      </c>
      <c r="AK217" s="2">
        <v>8.950419999999994</v>
      </c>
    </row>
    <row r="218" spans="1:37" ht="16.2" thickBot="1" x14ac:dyDescent="0.35">
      <c r="A218" s="6"/>
      <c r="B218" s="2" t="s">
        <v>32</v>
      </c>
      <c r="C218" s="15">
        <v>0.5</v>
      </c>
      <c r="D218" s="15">
        <v>0.5</v>
      </c>
      <c r="E218" s="15">
        <v>0.48</v>
      </c>
      <c r="F218" s="15">
        <v>0.48</v>
      </c>
      <c r="G218" s="15">
        <v>0.54</v>
      </c>
      <c r="H218" s="15">
        <v>0.46</v>
      </c>
      <c r="I218" s="15">
        <v>0.54</v>
      </c>
      <c r="J218" s="15">
        <v>0.46</v>
      </c>
      <c r="K218" s="15">
        <v>0.52</v>
      </c>
      <c r="L218" s="15"/>
      <c r="M218" s="15"/>
      <c r="N218" s="15"/>
      <c r="O218" s="15"/>
      <c r="P218" s="15"/>
      <c r="Q218" s="15"/>
      <c r="R218" s="16"/>
      <c r="S218" s="6"/>
      <c r="T218" s="6"/>
      <c r="U218" s="8" t="s">
        <v>97</v>
      </c>
      <c r="V218" s="219"/>
      <c r="W218" s="219"/>
      <c r="X218" s="219"/>
      <c r="Y218" s="219"/>
      <c r="Z218" s="219"/>
      <c r="AA218" s="219"/>
      <c r="AB218" s="219"/>
      <c r="AC218" s="219"/>
      <c r="AD218" s="219"/>
      <c r="AE218" s="219"/>
      <c r="AF218" s="219"/>
      <c r="AG218" s="219"/>
      <c r="AH218" s="219"/>
      <c r="AI218" s="220"/>
      <c r="AJ218" s="26"/>
    </row>
    <row r="219" spans="1:37" ht="15.75" customHeight="1" x14ac:dyDescent="0.3">
      <c r="A219" s="216" t="s">
        <v>157</v>
      </c>
      <c r="B219" s="13" t="s">
        <v>98</v>
      </c>
      <c r="C219" s="14">
        <v>0</v>
      </c>
      <c r="D219" s="14">
        <v>0.504</v>
      </c>
      <c r="E219" s="14">
        <v>1.992</v>
      </c>
      <c r="F219" s="14">
        <v>2.5819999999999999</v>
      </c>
      <c r="G219" s="14">
        <v>2.6320000000000001</v>
      </c>
      <c r="H219" s="14">
        <v>2.835</v>
      </c>
      <c r="I219" s="14">
        <v>2.5830000000000002</v>
      </c>
      <c r="J219" s="14">
        <v>2.1850000000000001</v>
      </c>
      <c r="K219" s="14">
        <v>1.708</v>
      </c>
      <c r="L219" s="14"/>
      <c r="M219" s="14"/>
      <c r="N219" s="14"/>
      <c r="O219" s="14"/>
      <c r="P219" s="15" t="s">
        <v>109</v>
      </c>
      <c r="Q219" s="16">
        <f t="shared" ref="Q219" si="305">COUNTIF(C219:N219, "&gt;0" )</f>
        <v>8</v>
      </c>
      <c r="S219" s="216" t="s">
        <v>157</v>
      </c>
      <c r="T219" s="216" t="s">
        <v>2</v>
      </c>
      <c r="U219" s="17" t="s">
        <v>98</v>
      </c>
      <c r="V219" s="18">
        <f t="shared" ref="V219:AH219" si="306">C219*C226</f>
        <v>0</v>
      </c>
      <c r="W219" s="18">
        <f t="shared" si="306"/>
        <v>0.252</v>
      </c>
      <c r="X219" s="18">
        <f t="shared" si="306"/>
        <v>0.996</v>
      </c>
      <c r="Y219" s="18">
        <f t="shared" si="306"/>
        <v>1.2909999999999999</v>
      </c>
      <c r="Z219" s="18">
        <f t="shared" si="306"/>
        <v>1.3160000000000001</v>
      </c>
      <c r="AA219" s="18">
        <f t="shared" si="306"/>
        <v>1.4742</v>
      </c>
      <c r="AB219" s="18">
        <f t="shared" si="306"/>
        <v>1.2398400000000001</v>
      </c>
      <c r="AC219" s="18">
        <f t="shared" si="306"/>
        <v>1.1799000000000002</v>
      </c>
      <c r="AD219" s="18">
        <f t="shared" si="306"/>
        <v>0.99063999999999997</v>
      </c>
      <c r="AE219" s="18">
        <f t="shared" si="306"/>
        <v>0</v>
      </c>
      <c r="AF219" s="18">
        <f t="shared" si="306"/>
        <v>0</v>
      </c>
      <c r="AG219" s="18">
        <f t="shared" si="306"/>
        <v>0</v>
      </c>
      <c r="AH219" s="18">
        <f t="shared" si="306"/>
        <v>0</v>
      </c>
      <c r="AI219" s="18">
        <f t="shared" ref="AI219" si="307">R219*R226</f>
        <v>0</v>
      </c>
      <c r="AJ219" s="19">
        <f>SUM(V219:AI219)</f>
        <v>8.7395800000000001</v>
      </c>
      <c r="AK219" s="2">
        <v>8.7395800000000001</v>
      </c>
    </row>
    <row r="220" spans="1:37" ht="15.75" customHeight="1" x14ac:dyDescent="0.3">
      <c r="A220" s="217"/>
      <c r="B220" s="2" t="s">
        <v>110</v>
      </c>
      <c r="C220" s="15"/>
      <c r="D220" s="15" t="s">
        <v>111</v>
      </c>
      <c r="E220" s="15" t="s">
        <v>111</v>
      </c>
      <c r="F220" s="15" t="s">
        <v>111</v>
      </c>
      <c r="G220" s="15" t="s">
        <v>112</v>
      </c>
      <c r="H220" s="15" t="s">
        <v>112</v>
      </c>
      <c r="I220" s="15" t="s">
        <v>111</v>
      </c>
      <c r="J220" s="15" t="s">
        <v>111</v>
      </c>
      <c r="K220" s="15" t="s">
        <v>111</v>
      </c>
      <c r="L220" s="15"/>
      <c r="M220" s="15"/>
      <c r="N220" s="15"/>
      <c r="O220" s="15"/>
      <c r="P220" s="15" t="s">
        <v>105</v>
      </c>
      <c r="Q220" s="15">
        <f t="shared" ref="Q220" si="308">COUNTIF(C220:N220,"Cortex")</f>
        <v>6</v>
      </c>
      <c r="S220" s="217"/>
      <c r="T220" s="217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23"/>
    </row>
    <row r="221" spans="1:37" ht="15.75" customHeight="1" x14ac:dyDescent="0.3">
      <c r="A221" s="217"/>
      <c r="B221" s="2" t="s">
        <v>99</v>
      </c>
      <c r="C221" s="15">
        <v>11.407</v>
      </c>
      <c r="D221" s="15">
        <v>15.105</v>
      </c>
      <c r="E221" s="15">
        <v>18.073</v>
      </c>
      <c r="F221" s="15">
        <v>20.611999999999998</v>
      </c>
      <c r="G221" s="15">
        <v>23.438000000000002</v>
      </c>
      <c r="H221" s="15">
        <v>25.227</v>
      </c>
      <c r="I221" s="15">
        <v>26.062999999999999</v>
      </c>
      <c r="J221" s="15">
        <v>27.559000000000001</v>
      </c>
      <c r="K221" s="15">
        <v>27.013000000000002</v>
      </c>
      <c r="L221" s="15"/>
      <c r="M221" s="15"/>
      <c r="N221" s="15"/>
      <c r="O221" s="15"/>
      <c r="P221" s="15" t="s">
        <v>106</v>
      </c>
      <c r="Q221" s="15">
        <f t="shared" ref="Q221" si="309">Q219-Q220</f>
        <v>2</v>
      </c>
      <c r="S221" s="217"/>
      <c r="T221" s="217"/>
      <c r="U221" s="8" t="s">
        <v>99</v>
      </c>
      <c r="V221" s="15">
        <f t="shared" ref="V221:AH221" si="310">C221*C226</f>
        <v>5.7035</v>
      </c>
      <c r="W221" s="15">
        <f t="shared" si="310"/>
        <v>7.5525000000000002</v>
      </c>
      <c r="X221" s="15">
        <f t="shared" si="310"/>
        <v>9.0365000000000002</v>
      </c>
      <c r="Y221" s="15">
        <f t="shared" si="310"/>
        <v>10.305999999999999</v>
      </c>
      <c r="Z221" s="15">
        <f t="shared" si="310"/>
        <v>11.719000000000001</v>
      </c>
      <c r="AA221" s="15">
        <f t="shared" si="310"/>
        <v>13.118040000000001</v>
      </c>
      <c r="AB221" s="15">
        <f t="shared" si="310"/>
        <v>12.51024</v>
      </c>
      <c r="AC221" s="15">
        <f t="shared" si="310"/>
        <v>14.881860000000001</v>
      </c>
      <c r="AD221" s="15">
        <f t="shared" si="310"/>
        <v>15.667540000000001</v>
      </c>
      <c r="AE221" s="15">
        <f t="shared" si="310"/>
        <v>0</v>
      </c>
      <c r="AF221" s="15">
        <f t="shared" si="310"/>
        <v>0</v>
      </c>
      <c r="AG221" s="15">
        <f t="shared" si="310"/>
        <v>0</v>
      </c>
      <c r="AH221" s="15">
        <f t="shared" si="310"/>
        <v>0</v>
      </c>
      <c r="AI221" s="15">
        <f t="shared" ref="AI221" si="311">R221*R226</f>
        <v>0</v>
      </c>
      <c r="AJ221" s="23">
        <f>SUM(V221:AI221)</f>
        <v>100.49518</v>
      </c>
      <c r="AK221" s="2">
        <v>100.49518</v>
      </c>
    </row>
    <row r="222" spans="1:37" ht="15.75" customHeight="1" x14ac:dyDescent="0.3">
      <c r="A222" s="217"/>
      <c r="B222" s="2" t="s">
        <v>100</v>
      </c>
      <c r="C222" s="15">
        <v>11.115</v>
      </c>
      <c r="D222" s="15">
        <v>14.244999999999999</v>
      </c>
      <c r="E222" s="15">
        <v>17.033999999999999</v>
      </c>
      <c r="F222" s="15">
        <v>18.736000000000001</v>
      </c>
      <c r="G222" s="15">
        <v>20.959</v>
      </c>
      <c r="H222" s="15">
        <v>22.888999999999999</v>
      </c>
      <c r="I222" s="15">
        <v>23.492999999999999</v>
      </c>
      <c r="J222" s="15">
        <v>24.65</v>
      </c>
      <c r="K222" s="15">
        <v>24.763999999999999</v>
      </c>
      <c r="L222" s="15"/>
      <c r="M222" s="15"/>
      <c r="N222" s="15"/>
      <c r="O222" s="15"/>
      <c r="P222" s="15" t="s">
        <v>113</v>
      </c>
      <c r="Q222" s="16">
        <f t="shared" ref="Q222" si="312">COUNTIF(C219:O219, "&gt;=0" )</f>
        <v>9</v>
      </c>
      <c r="S222" s="217"/>
      <c r="T222" s="217"/>
      <c r="U222" s="8" t="s">
        <v>100</v>
      </c>
      <c r="V222" s="15">
        <f t="shared" ref="V222:AH222" si="313">C222*C226</f>
        <v>5.5575000000000001</v>
      </c>
      <c r="W222" s="15">
        <f t="shared" si="313"/>
        <v>7.1224999999999996</v>
      </c>
      <c r="X222" s="15">
        <f t="shared" si="313"/>
        <v>8.5169999999999995</v>
      </c>
      <c r="Y222" s="15">
        <f t="shared" si="313"/>
        <v>9.3680000000000003</v>
      </c>
      <c r="Z222" s="15">
        <f t="shared" si="313"/>
        <v>10.4795</v>
      </c>
      <c r="AA222" s="15">
        <f t="shared" si="313"/>
        <v>11.902279999999999</v>
      </c>
      <c r="AB222" s="15">
        <f t="shared" si="313"/>
        <v>11.276639999999999</v>
      </c>
      <c r="AC222" s="15">
        <f t="shared" si="313"/>
        <v>13.311</v>
      </c>
      <c r="AD222" s="15">
        <f t="shared" si="313"/>
        <v>14.363119999999999</v>
      </c>
      <c r="AE222" s="15">
        <f t="shared" si="313"/>
        <v>0</v>
      </c>
      <c r="AF222" s="15">
        <f t="shared" si="313"/>
        <v>0</v>
      </c>
      <c r="AG222" s="15">
        <f t="shared" si="313"/>
        <v>0</v>
      </c>
      <c r="AH222" s="15">
        <f t="shared" si="313"/>
        <v>0</v>
      </c>
      <c r="AI222" s="15">
        <f t="shared" ref="AI222" si="314">R222*R226</f>
        <v>0</v>
      </c>
      <c r="AJ222" s="23">
        <f>SUM(V222:AI222)</f>
        <v>91.897539999999978</v>
      </c>
      <c r="AK222" s="2">
        <v>91.897539999999978</v>
      </c>
    </row>
    <row r="223" spans="1:37" x14ac:dyDescent="0.3">
      <c r="A223" s="6"/>
      <c r="B223" s="2" t="s">
        <v>114</v>
      </c>
      <c r="C223" s="15">
        <v>11.115</v>
      </c>
      <c r="D223" s="15">
        <v>13.741</v>
      </c>
      <c r="E223" s="15">
        <v>15.041999999999998</v>
      </c>
      <c r="F223" s="15">
        <v>16.154</v>
      </c>
      <c r="G223" s="15">
        <v>18.326999999999998</v>
      </c>
      <c r="H223" s="15">
        <v>20.053999999999998</v>
      </c>
      <c r="I223" s="15">
        <v>20.909999999999997</v>
      </c>
      <c r="J223" s="15">
        <v>22.465</v>
      </c>
      <c r="K223" s="15">
        <v>23.056000000000001</v>
      </c>
      <c r="L223" s="15"/>
      <c r="M223" s="15"/>
      <c r="N223" s="15"/>
      <c r="O223" s="15"/>
      <c r="P223" s="15"/>
      <c r="Q223" s="15"/>
      <c r="S223" s="6"/>
      <c r="T223" s="6"/>
      <c r="U223" s="8" t="s">
        <v>101</v>
      </c>
      <c r="V223" s="15">
        <f t="shared" ref="V223:AH223" si="315">C223*C226</f>
        <v>5.5575000000000001</v>
      </c>
      <c r="W223" s="15">
        <f t="shared" si="315"/>
        <v>6.8704999999999998</v>
      </c>
      <c r="X223" s="15">
        <f t="shared" si="315"/>
        <v>7.520999999999999</v>
      </c>
      <c r="Y223" s="15">
        <f t="shared" si="315"/>
        <v>8.077</v>
      </c>
      <c r="Z223" s="15">
        <f t="shared" si="315"/>
        <v>9.1634999999999991</v>
      </c>
      <c r="AA223" s="15">
        <f t="shared" si="315"/>
        <v>10.42808</v>
      </c>
      <c r="AB223" s="15">
        <f t="shared" si="315"/>
        <v>10.036799999999998</v>
      </c>
      <c r="AC223" s="15">
        <f t="shared" si="315"/>
        <v>12.1311</v>
      </c>
      <c r="AD223" s="15">
        <f t="shared" si="315"/>
        <v>13.372479999999999</v>
      </c>
      <c r="AE223" s="15">
        <f t="shared" si="315"/>
        <v>0</v>
      </c>
      <c r="AF223" s="15">
        <f t="shared" si="315"/>
        <v>0</v>
      </c>
      <c r="AG223" s="15">
        <f t="shared" si="315"/>
        <v>0</v>
      </c>
      <c r="AH223" s="15">
        <f t="shared" si="315"/>
        <v>0</v>
      </c>
      <c r="AI223" s="15">
        <f t="shared" ref="AI223" si="316">R223*R226</f>
        <v>0</v>
      </c>
      <c r="AJ223" s="23">
        <f>SUM(V223:AI223)</f>
        <v>83.157959999999989</v>
      </c>
      <c r="AK223" s="2">
        <v>83.157959999999989</v>
      </c>
    </row>
    <row r="224" spans="1:37" x14ac:dyDescent="0.3">
      <c r="A224" s="6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S224" s="6"/>
      <c r="T224" s="6"/>
      <c r="U224" s="24" t="s">
        <v>115</v>
      </c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19">
        <f>(AJ221-AJ222)/AJ221*100</f>
        <v>8.5552759843805717</v>
      </c>
      <c r="AK224" s="2">
        <v>8.5552759843805717</v>
      </c>
    </row>
    <row r="225" spans="1:37" x14ac:dyDescent="0.3">
      <c r="A225" s="6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S225" s="6"/>
      <c r="T225" s="6"/>
      <c r="U225" s="24" t="s">
        <v>103</v>
      </c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19">
        <f>AJ221-AJ223</f>
        <v>17.337220000000016</v>
      </c>
      <c r="AK225" s="2">
        <v>17.337220000000016</v>
      </c>
    </row>
    <row r="226" spans="1:37" ht="16.2" thickBot="1" x14ac:dyDescent="0.35">
      <c r="A226" s="6"/>
      <c r="B226" s="2" t="s">
        <v>32</v>
      </c>
      <c r="C226" s="15">
        <v>0.5</v>
      </c>
      <c r="D226" s="15">
        <v>0.5</v>
      </c>
      <c r="E226" s="15">
        <v>0.5</v>
      </c>
      <c r="F226" s="15">
        <v>0.5</v>
      </c>
      <c r="G226" s="15">
        <v>0.5</v>
      </c>
      <c r="H226" s="15">
        <v>0.52</v>
      </c>
      <c r="I226" s="15">
        <v>0.48</v>
      </c>
      <c r="J226" s="15">
        <v>0.54</v>
      </c>
      <c r="K226" s="15">
        <v>0.57999999999999996</v>
      </c>
      <c r="L226" s="15"/>
      <c r="M226" s="15"/>
      <c r="N226" s="15"/>
      <c r="O226" s="15"/>
      <c r="P226" s="15"/>
      <c r="Q226" s="15"/>
      <c r="R226" s="16"/>
      <c r="S226" s="6"/>
      <c r="T226" s="6"/>
      <c r="U226" s="8" t="s">
        <v>97</v>
      </c>
      <c r="V226" s="219"/>
      <c r="W226" s="219"/>
      <c r="X226" s="219"/>
      <c r="Y226" s="219"/>
      <c r="Z226" s="219"/>
      <c r="AA226" s="219"/>
      <c r="AB226" s="219"/>
      <c r="AC226" s="219"/>
      <c r="AD226" s="219"/>
      <c r="AE226" s="219"/>
      <c r="AF226" s="219"/>
      <c r="AG226" s="219"/>
      <c r="AH226" s="219"/>
      <c r="AI226" s="220"/>
      <c r="AJ226" s="26"/>
    </row>
    <row r="227" spans="1:37" ht="15.75" customHeight="1" x14ac:dyDescent="0.3">
      <c r="A227" s="216" t="s">
        <v>158</v>
      </c>
      <c r="B227" s="13" t="s">
        <v>98</v>
      </c>
      <c r="C227" s="14">
        <v>0</v>
      </c>
      <c r="D227" s="14">
        <v>0.63300000000000001</v>
      </c>
      <c r="E227" s="14">
        <v>0.89800000000000002</v>
      </c>
      <c r="F227" s="14">
        <v>2.9670000000000001</v>
      </c>
      <c r="G227" s="14">
        <v>3.7909999999999999</v>
      </c>
      <c r="H227" s="14">
        <v>4.1840000000000002</v>
      </c>
      <c r="I227" s="14">
        <v>4.2149999999999999</v>
      </c>
      <c r="J227" s="14">
        <v>4.0780000000000003</v>
      </c>
      <c r="K227" s="14">
        <v>3.774</v>
      </c>
      <c r="L227" s="14">
        <v>2.1970000000000001</v>
      </c>
      <c r="M227" s="14">
        <v>0.77300000000000002</v>
      </c>
      <c r="N227" s="14">
        <v>0.107</v>
      </c>
      <c r="O227" s="14"/>
      <c r="P227" s="15" t="s">
        <v>109</v>
      </c>
      <c r="Q227" s="16">
        <f t="shared" ref="Q227" si="317">COUNTIF(C227:N227, "&gt;0" )</f>
        <v>11</v>
      </c>
      <c r="S227" s="216" t="s">
        <v>158</v>
      </c>
      <c r="T227" s="216" t="s">
        <v>2</v>
      </c>
      <c r="U227" s="17" t="s">
        <v>98</v>
      </c>
      <c r="V227" s="18">
        <f t="shared" ref="V227:AH227" si="318">C227*C234</f>
        <v>0</v>
      </c>
      <c r="W227" s="18">
        <f t="shared" si="318"/>
        <v>0.35448000000000002</v>
      </c>
      <c r="X227" s="18">
        <f t="shared" si="318"/>
        <v>0.43103999999999998</v>
      </c>
      <c r="Y227" s="18">
        <f t="shared" si="318"/>
        <v>1.3648200000000001</v>
      </c>
      <c r="Z227" s="18">
        <f t="shared" si="318"/>
        <v>1.97132</v>
      </c>
      <c r="AA227" s="18">
        <f t="shared" si="318"/>
        <v>2.42672</v>
      </c>
      <c r="AB227" s="18">
        <f t="shared" si="318"/>
        <v>1.6859999999999999</v>
      </c>
      <c r="AC227" s="18">
        <f t="shared" si="318"/>
        <v>2.2021200000000003</v>
      </c>
      <c r="AD227" s="18">
        <f t="shared" si="318"/>
        <v>1.887</v>
      </c>
      <c r="AE227" s="18">
        <f t="shared" si="318"/>
        <v>1.0106200000000001</v>
      </c>
      <c r="AF227" s="18">
        <f t="shared" si="318"/>
        <v>0.41742000000000001</v>
      </c>
      <c r="AG227" s="18">
        <f t="shared" si="318"/>
        <v>4.922E-2</v>
      </c>
      <c r="AH227" s="18">
        <f t="shared" si="318"/>
        <v>0</v>
      </c>
      <c r="AI227" s="18">
        <f t="shared" ref="AI227" si="319">R227*R234</f>
        <v>0</v>
      </c>
      <c r="AJ227" s="19">
        <f>SUM(V227:AI227)</f>
        <v>13.80076</v>
      </c>
      <c r="AK227" s="2">
        <v>13.80076</v>
      </c>
    </row>
    <row r="228" spans="1:37" ht="15.75" customHeight="1" x14ac:dyDescent="0.3">
      <c r="A228" s="217"/>
      <c r="B228" s="2" t="s">
        <v>110</v>
      </c>
      <c r="C228" s="15"/>
      <c r="D228" s="15" t="s">
        <v>111</v>
      </c>
      <c r="E228" s="15" t="s">
        <v>111</v>
      </c>
      <c r="F228" s="15" t="s">
        <v>111</v>
      </c>
      <c r="G228" s="15" t="s">
        <v>111</v>
      </c>
      <c r="H228" s="15" t="s">
        <v>111</v>
      </c>
      <c r="I228" s="15" t="s">
        <v>111</v>
      </c>
      <c r="J228" s="15" t="s">
        <v>112</v>
      </c>
      <c r="K228" s="15" t="s">
        <v>112</v>
      </c>
      <c r="L228" s="15" t="s">
        <v>111</v>
      </c>
      <c r="M228" s="15" t="s">
        <v>111</v>
      </c>
      <c r="N228" s="15" t="s">
        <v>111</v>
      </c>
      <c r="O228" s="15"/>
      <c r="P228" s="15" t="s">
        <v>105</v>
      </c>
      <c r="Q228" s="15">
        <f t="shared" ref="Q228" si="320">COUNTIF(C228:N228,"Cortex")</f>
        <v>9</v>
      </c>
      <c r="S228" s="217"/>
      <c r="T228" s="217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23"/>
    </row>
    <row r="229" spans="1:37" ht="17.25" customHeight="1" x14ac:dyDescent="0.3">
      <c r="A229" s="217"/>
      <c r="B229" s="2" t="s">
        <v>99</v>
      </c>
      <c r="C229" s="15">
        <v>13.221</v>
      </c>
      <c r="D229" s="15">
        <v>15.776</v>
      </c>
      <c r="E229" s="15">
        <v>17.992000000000001</v>
      </c>
      <c r="F229" s="15">
        <v>19.669</v>
      </c>
      <c r="G229" s="15">
        <v>20.466999999999999</v>
      </c>
      <c r="H229" s="15">
        <v>22.827999999999999</v>
      </c>
      <c r="I229" s="15">
        <v>24.114000000000001</v>
      </c>
      <c r="J229" s="15">
        <v>24.984999999999999</v>
      </c>
      <c r="K229" s="15">
        <v>25.091999999999999</v>
      </c>
      <c r="L229" s="15">
        <v>24.010999999999999</v>
      </c>
      <c r="M229" s="15">
        <v>23.585000000000001</v>
      </c>
      <c r="N229" s="15">
        <v>23.504000000000001</v>
      </c>
      <c r="O229" s="15"/>
      <c r="P229" s="15" t="s">
        <v>106</v>
      </c>
      <c r="Q229" s="15">
        <f t="shared" ref="Q229" si="321">Q227-Q228</f>
        <v>2</v>
      </c>
      <c r="S229" s="217"/>
      <c r="T229" s="217"/>
      <c r="U229" s="8" t="s">
        <v>99</v>
      </c>
      <c r="V229" s="15">
        <f t="shared" ref="V229:AH229" si="322">C229*C234</f>
        <v>6.6105</v>
      </c>
      <c r="W229" s="15">
        <f t="shared" si="322"/>
        <v>8.8345600000000015</v>
      </c>
      <c r="X229" s="15">
        <f t="shared" si="322"/>
        <v>8.6361600000000003</v>
      </c>
      <c r="Y229" s="15">
        <f t="shared" si="322"/>
        <v>9.047740000000001</v>
      </c>
      <c r="Z229" s="15">
        <f t="shared" si="322"/>
        <v>10.64284</v>
      </c>
      <c r="AA229" s="15">
        <f t="shared" si="322"/>
        <v>13.240239999999998</v>
      </c>
      <c r="AB229" s="15">
        <f t="shared" si="322"/>
        <v>9.6456000000000017</v>
      </c>
      <c r="AC229" s="15">
        <f t="shared" si="322"/>
        <v>13.491900000000001</v>
      </c>
      <c r="AD229" s="15">
        <f t="shared" si="322"/>
        <v>12.545999999999999</v>
      </c>
      <c r="AE229" s="15">
        <f t="shared" si="322"/>
        <v>11.045059999999999</v>
      </c>
      <c r="AF229" s="15">
        <f t="shared" si="322"/>
        <v>12.735900000000001</v>
      </c>
      <c r="AG229" s="15">
        <f t="shared" si="322"/>
        <v>10.811840000000002</v>
      </c>
      <c r="AH229" s="15">
        <f t="shared" si="322"/>
        <v>0</v>
      </c>
      <c r="AI229" s="15">
        <f t="shared" ref="AI229" si="323">R229*R234</f>
        <v>0</v>
      </c>
      <c r="AJ229" s="23">
        <f>SUM(V229:AI229)</f>
        <v>127.28834000000003</v>
      </c>
      <c r="AK229" s="2">
        <v>127.28834000000003</v>
      </c>
    </row>
    <row r="230" spans="1:37" ht="15.75" customHeight="1" x14ac:dyDescent="0.3">
      <c r="A230" s="217"/>
      <c r="B230" s="2" t="s">
        <v>100</v>
      </c>
      <c r="C230" s="15">
        <v>13.420999999999999</v>
      </c>
      <c r="D230" s="15">
        <v>17.268999999999998</v>
      </c>
      <c r="E230" s="15">
        <v>19.408000000000001</v>
      </c>
      <c r="F230" s="15">
        <v>21.504999999999999</v>
      </c>
      <c r="G230" s="15">
        <v>23.120999999999999</v>
      </c>
      <c r="H230" s="15">
        <v>24.067</v>
      </c>
      <c r="I230" s="15">
        <v>24.633000000000003</v>
      </c>
      <c r="J230" s="15">
        <v>24.905999999999999</v>
      </c>
      <c r="K230" s="15">
        <v>25.416</v>
      </c>
      <c r="L230" s="15">
        <v>24.533999999999999</v>
      </c>
      <c r="M230" s="15">
        <v>23.745999999999999</v>
      </c>
      <c r="N230" s="15">
        <v>23.071999999999999</v>
      </c>
      <c r="O230" s="15"/>
      <c r="P230" s="15" t="s">
        <v>113</v>
      </c>
      <c r="Q230" s="16">
        <f t="shared" ref="Q230" si="324">COUNTIF(C227:O227, "&gt;=0" )</f>
        <v>12</v>
      </c>
      <c r="S230" s="217"/>
      <c r="T230" s="217"/>
      <c r="U230" s="8" t="s">
        <v>100</v>
      </c>
      <c r="V230" s="15">
        <f t="shared" ref="V230:AH230" si="325">C230*C234</f>
        <v>6.7104999999999997</v>
      </c>
      <c r="W230" s="15">
        <f t="shared" si="325"/>
        <v>9.6706400000000006</v>
      </c>
      <c r="X230" s="15">
        <f t="shared" si="325"/>
        <v>9.3158399999999997</v>
      </c>
      <c r="Y230" s="15">
        <f t="shared" si="325"/>
        <v>9.8923000000000005</v>
      </c>
      <c r="Z230" s="15">
        <f t="shared" si="325"/>
        <v>12.022919999999999</v>
      </c>
      <c r="AA230" s="15">
        <f t="shared" si="325"/>
        <v>13.95886</v>
      </c>
      <c r="AB230" s="15">
        <f t="shared" si="325"/>
        <v>9.8532000000000011</v>
      </c>
      <c r="AC230" s="15">
        <f t="shared" si="325"/>
        <v>13.44924</v>
      </c>
      <c r="AD230" s="15">
        <f t="shared" si="325"/>
        <v>12.708</v>
      </c>
      <c r="AE230" s="15">
        <f t="shared" si="325"/>
        <v>11.285640000000001</v>
      </c>
      <c r="AF230" s="15">
        <f t="shared" si="325"/>
        <v>12.822839999999999</v>
      </c>
      <c r="AG230" s="15">
        <f t="shared" si="325"/>
        <v>10.61312</v>
      </c>
      <c r="AH230" s="15">
        <f t="shared" si="325"/>
        <v>0</v>
      </c>
      <c r="AI230" s="15">
        <f t="shared" ref="AI230" si="326">R230*R234</f>
        <v>0</v>
      </c>
      <c r="AJ230" s="23">
        <f>SUM(V230:AI230)</f>
        <v>132.3031</v>
      </c>
      <c r="AK230" s="2">
        <v>132.3031</v>
      </c>
    </row>
    <row r="231" spans="1:37" x14ac:dyDescent="0.3">
      <c r="A231" s="6"/>
      <c r="B231" s="2" t="s">
        <v>114</v>
      </c>
      <c r="C231" s="15">
        <v>13.420999999999999</v>
      </c>
      <c r="D231" s="15">
        <v>16.635999999999999</v>
      </c>
      <c r="E231" s="15">
        <v>18.510000000000002</v>
      </c>
      <c r="F231" s="15">
        <v>18.538</v>
      </c>
      <c r="G231" s="15">
        <v>19.329999999999998</v>
      </c>
      <c r="H231" s="15">
        <v>19.882999999999999</v>
      </c>
      <c r="I231" s="15">
        <v>20.418000000000003</v>
      </c>
      <c r="J231" s="15">
        <v>20.827999999999999</v>
      </c>
      <c r="K231" s="15">
        <v>21.641999999999999</v>
      </c>
      <c r="L231" s="15">
        <v>22.337</v>
      </c>
      <c r="M231" s="15">
        <v>22.972999999999999</v>
      </c>
      <c r="N231" s="15">
        <v>22.965</v>
      </c>
      <c r="O231" s="15"/>
      <c r="P231" s="15"/>
      <c r="Q231" s="15"/>
      <c r="S231" s="6"/>
      <c r="T231" s="6"/>
      <c r="U231" s="8" t="s">
        <v>101</v>
      </c>
      <c r="V231" s="15">
        <f t="shared" ref="V231:AH231" si="327">C231*C234</f>
        <v>6.7104999999999997</v>
      </c>
      <c r="W231" s="15">
        <f t="shared" si="327"/>
        <v>9.31616</v>
      </c>
      <c r="X231" s="15">
        <f t="shared" si="327"/>
        <v>8.8848000000000003</v>
      </c>
      <c r="Y231" s="15">
        <f t="shared" si="327"/>
        <v>8.5274800000000006</v>
      </c>
      <c r="Z231" s="15">
        <f t="shared" si="327"/>
        <v>10.051599999999999</v>
      </c>
      <c r="AA231" s="15">
        <f t="shared" si="327"/>
        <v>11.532139999999998</v>
      </c>
      <c r="AB231" s="15">
        <f t="shared" si="327"/>
        <v>8.1672000000000011</v>
      </c>
      <c r="AC231" s="15">
        <f t="shared" si="327"/>
        <v>11.247120000000001</v>
      </c>
      <c r="AD231" s="15">
        <f t="shared" si="327"/>
        <v>10.821</v>
      </c>
      <c r="AE231" s="15">
        <f t="shared" si="327"/>
        <v>10.27502</v>
      </c>
      <c r="AF231" s="15">
        <f t="shared" si="327"/>
        <v>12.405419999999999</v>
      </c>
      <c r="AG231" s="15">
        <f t="shared" si="327"/>
        <v>10.5639</v>
      </c>
      <c r="AH231" s="15">
        <f t="shared" si="327"/>
        <v>0</v>
      </c>
      <c r="AI231" s="15">
        <f t="shared" ref="AI231" si="328">R231*R234</f>
        <v>0</v>
      </c>
      <c r="AJ231" s="23">
        <f>SUM(V231:AI231)</f>
        <v>118.50233999999999</v>
      </c>
      <c r="AK231" s="2">
        <v>118.50233999999999</v>
      </c>
    </row>
    <row r="232" spans="1:37" x14ac:dyDescent="0.3">
      <c r="A232" s="6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S232" s="6"/>
      <c r="T232" s="6"/>
      <c r="U232" s="24" t="s">
        <v>115</v>
      </c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19">
        <f>(AJ229-AJ230)/AJ229*100</f>
        <v>-3.9396852846065604</v>
      </c>
      <c r="AK232" s="2">
        <v>-3.9396852846065604</v>
      </c>
    </row>
    <row r="233" spans="1:37" x14ac:dyDescent="0.3">
      <c r="A233" s="6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S233" s="6"/>
      <c r="T233" s="6"/>
      <c r="U233" s="24" t="s">
        <v>103</v>
      </c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19">
        <f>AJ229-AJ231</f>
        <v>8.786000000000044</v>
      </c>
      <c r="AK233" s="2">
        <v>8.786000000000044</v>
      </c>
    </row>
    <row r="234" spans="1:37" ht="16.2" thickBot="1" x14ac:dyDescent="0.35">
      <c r="A234" s="6"/>
      <c r="B234" s="2" t="s">
        <v>32</v>
      </c>
      <c r="C234" s="15">
        <v>0.5</v>
      </c>
      <c r="D234" s="15">
        <v>0.56000000000000005</v>
      </c>
      <c r="E234" s="15">
        <v>0.48</v>
      </c>
      <c r="F234" s="15">
        <v>0.46</v>
      </c>
      <c r="G234" s="15">
        <v>0.52</v>
      </c>
      <c r="H234" s="15">
        <v>0.57999999999999996</v>
      </c>
      <c r="I234" s="15">
        <v>0.4</v>
      </c>
      <c r="J234" s="15">
        <v>0.54</v>
      </c>
      <c r="K234" s="15">
        <v>0.5</v>
      </c>
      <c r="L234" s="15">
        <v>0.46</v>
      </c>
      <c r="M234" s="15">
        <v>0.54</v>
      </c>
      <c r="N234" s="15">
        <v>0.46</v>
      </c>
      <c r="O234" s="15"/>
      <c r="P234" s="15"/>
      <c r="Q234" s="15"/>
      <c r="R234" s="16"/>
      <c r="S234" s="6"/>
      <c r="T234" s="6"/>
      <c r="U234" s="8" t="s">
        <v>97</v>
      </c>
      <c r="V234" s="221" t="s">
        <v>134</v>
      </c>
      <c r="W234" s="221"/>
      <c r="X234" s="221"/>
      <c r="Y234" s="221"/>
      <c r="Z234" s="221"/>
      <c r="AA234" s="221"/>
      <c r="AB234" s="221"/>
      <c r="AC234" s="221"/>
      <c r="AD234" s="221"/>
      <c r="AE234" s="221"/>
      <c r="AF234" s="221"/>
      <c r="AG234" s="221"/>
      <c r="AH234" s="221"/>
      <c r="AI234" s="222"/>
      <c r="AJ234" s="26"/>
    </row>
    <row r="235" spans="1:37" ht="15.75" customHeight="1" x14ac:dyDescent="0.3">
      <c r="A235" s="216" t="s">
        <v>159</v>
      </c>
      <c r="B235" s="13" t="s">
        <v>98</v>
      </c>
      <c r="C235" s="14">
        <v>0</v>
      </c>
      <c r="D235" s="14">
        <v>0</v>
      </c>
      <c r="E235" s="14">
        <v>0.65300000000000002</v>
      </c>
      <c r="F235" s="14">
        <v>3.327</v>
      </c>
      <c r="G235" s="14">
        <v>2.5830000000000002</v>
      </c>
      <c r="H235" s="14">
        <v>2.2599999999999998</v>
      </c>
      <c r="I235" s="14">
        <v>0.52</v>
      </c>
      <c r="J235" s="14">
        <v>0.16400000000000001</v>
      </c>
      <c r="K235" s="14"/>
      <c r="L235" s="14"/>
      <c r="M235" s="14"/>
      <c r="N235" s="14"/>
      <c r="O235" s="14"/>
      <c r="P235" s="15" t="s">
        <v>109</v>
      </c>
      <c r="Q235" s="16">
        <f t="shared" ref="Q235" si="329">COUNTIF(C235:N235, "&gt;0" )</f>
        <v>6</v>
      </c>
      <c r="S235" s="216" t="s">
        <v>159</v>
      </c>
      <c r="T235" s="216" t="s">
        <v>2</v>
      </c>
      <c r="U235" s="17" t="s">
        <v>98</v>
      </c>
      <c r="V235" s="18">
        <f t="shared" ref="V235:AH235" si="330">C235*C242</f>
        <v>0</v>
      </c>
      <c r="W235" s="18">
        <f t="shared" si="330"/>
        <v>0</v>
      </c>
      <c r="X235" s="18">
        <f t="shared" si="330"/>
        <v>0.35262000000000004</v>
      </c>
      <c r="Y235" s="18">
        <f t="shared" si="330"/>
        <v>1.5304200000000001</v>
      </c>
      <c r="Z235" s="18">
        <f t="shared" si="330"/>
        <v>1.2915000000000001</v>
      </c>
      <c r="AA235" s="18">
        <f t="shared" si="330"/>
        <v>1.1752</v>
      </c>
      <c r="AB235" s="18">
        <f t="shared" si="330"/>
        <v>0.24959999999999999</v>
      </c>
      <c r="AC235" s="18">
        <f t="shared" si="330"/>
        <v>9.8400000000000001E-2</v>
      </c>
      <c r="AD235" s="18">
        <f t="shared" si="330"/>
        <v>0</v>
      </c>
      <c r="AE235" s="18">
        <f t="shared" si="330"/>
        <v>0</v>
      </c>
      <c r="AF235" s="18">
        <f t="shared" si="330"/>
        <v>0</v>
      </c>
      <c r="AG235" s="18">
        <f t="shared" si="330"/>
        <v>0</v>
      </c>
      <c r="AH235" s="18">
        <f t="shared" si="330"/>
        <v>0</v>
      </c>
      <c r="AI235" s="18">
        <f t="shared" ref="AI235" si="331">R235*R242</f>
        <v>0</v>
      </c>
      <c r="AJ235" s="19">
        <f>SUM(V235:AI235)</f>
        <v>4.6977400000000005</v>
      </c>
      <c r="AK235" s="2">
        <v>4.6977400000000005</v>
      </c>
    </row>
    <row r="236" spans="1:37" ht="15.75" customHeight="1" x14ac:dyDescent="0.3">
      <c r="A236" s="217"/>
      <c r="B236" s="2" t="s">
        <v>110</v>
      </c>
      <c r="C236" s="15"/>
      <c r="D236" s="15"/>
      <c r="E236" s="15" t="s">
        <v>111</v>
      </c>
      <c r="F236" s="15" t="s">
        <v>111</v>
      </c>
      <c r="G236" s="15" t="s">
        <v>111</v>
      </c>
      <c r="H236" s="15" t="s">
        <v>111</v>
      </c>
      <c r="I236" s="15" t="s">
        <v>111</v>
      </c>
      <c r="J236" s="15" t="s">
        <v>111</v>
      </c>
      <c r="K236" s="15"/>
      <c r="L236" s="15"/>
      <c r="M236" s="15"/>
      <c r="N236" s="15"/>
      <c r="O236" s="15"/>
      <c r="P236" s="15" t="s">
        <v>105</v>
      </c>
      <c r="Q236" s="15">
        <f t="shared" ref="Q236" si="332">COUNTIF(C236:N236,"Cortex")</f>
        <v>6</v>
      </c>
      <c r="S236" s="217"/>
      <c r="T236" s="217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23"/>
    </row>
    <row r="237" spans="1:37" ht="15.75" customHeight="1" x14ac:dyDescent="0.3">
      <c r="A237" s="217"/>
      <c r="B237" s="2" t="s">
        <v>99</v>
      </c>
      <c r="C237" s="15">
        <v>17.327000000000002</v>
      </c>
      <c r="D237" s="15">
        <v>19.244</v>
      </c>
      <c r="E237" s="15">
        <v>19.93</v>
      </c>
      <c r="F237" s="15">
        <v>22.178999999999998</v>
      </c>
      <c r="G237" s="15">
        <v>24.652000000000001</v>
      </c>
      <c r="H237" s="15">
        <v>25.173999999999999</v>
      </c>
      <c r="I237" s="15">
        <v>26.76</v>
      </c>
      <c r="J237" s="15">
        <v>25.994999999999997</v>
      </c>
      <c r="K237" s="15"/>
      <c r="L237" s="15"/>
      <c r="M237" s="15"/>
      <c r="N237" s="15"/>
      <c r="O237" s="15"/>
      <c r="P237" s="15" t="s">
        <v>106</v>
      </c>
      <c r="Q237" s="15">
        <f t="shared" ref="Q237" si="333">Q235-Q236</f>
        <v>0</v>
      </c>
      <c r="S237" s="217"/>
      <c r="T237" s="217"/>
      <c r="U237" s="8" t="s">
        <v>99</v>
      </c>
      <c r="V237" s="15">
        <f t="shared" ref="V237:AH237" si="334">C237*C242</f>
        <v>8.6635000000000009</v>
      </c>
      <c r="W237" s="15">
        <f t="shared" si="334"/>
        <v>9.6219999999999999</v>
      </c>
      <c r="X237" s="15">
        <f t="shared" si="334"/>
        <v>10.7622</v>
      </c>
      <c r="Y237" s="15">
        <f t="shared" si="334"/>
        <v>10.20234</v>
      </c>
      <c r="Z237" s="15">
        <f t="shared" si="334"/>
        <v>12.326000000000001</v>
      </c>
      <c r="AA237" s="15">
        <f t="shared" si="334"/>
        <v>13.090479999999999</v>
      </c>
      <c r="AB237" s="15">
        <f t="shared" si="334"/>
        <v>12.844800000000001</v>
      </c>
      <c r="AC237" s="15">
        <f t="shared" si="334"/>
        <v>15.596999999999998</v>
      </c>
      <c r="AD237" s="15">
        <f t="shared" si="334"/>
        <v>0</v>
      </c>
      <c r="AE237" s="15">
        <f t="shared" si="334"/>
        <v>0</v>
      </c>
      <c r="AF237" s="15">
        <f t="shared" si="334"/>
        <v>0</v>
      </c>
      <c r="AG237" s="15">
        <f t="shared" si="334"/>
        <v>0</v>
      </c>
      <c r="AH237" s="15">
        <f t="shared" si="334"/>
        <v>0</v>
      </c>
      <c r="AI237" s="15">
        <f t="shared" ref="AI237" si="335">R237*R242</f>
        <v>0</v>
      </c>
      <c r="AJ237" s="23">
        <f>SUM(V237:AI237)</f>
        <v>93.108319999999992</v>
      </c>
      <c r="AK237" s="2">
        <v>93.108319999999992</v>
      </c>
    </row>
    <row r="238" spans="1:37" ht="15.75" customHeight="1" x14ac:dyDescent="0.3">
      <c r="A238" s="217"/>
      <c r="B238" s="2" t="s">
        <v>100</v>
      </c>
      <c r="C238" s="15">
        <v>16.904</v>
      </c>
      <c r="D238" s="15">
        <v>19.158999999999999</v>
      </c>
      <c r="E238" s="15">
        <v>20.803000000000001</v>
      </c>
      <c r="F238" s="15">
        <v>22.91</v>
      </c>
      <c r="G238" s="15">
        <v>24.625</v>
      </c>
      <c r="H238" s="15">
        <v>25.78</v>
      </c>
      <c r="I238" s="15">
        <v>25.758000000000003</v>
      </c>
      <c r="J238" s="15">
        <v>25.76</v>
      </c>
      <c r="K238" s="15"/>
      <c r="L238" s="15"/>
      <c r="M238" s="15"/>
      <c r="N238" s="15"/>
      <c r="O238" s="15"/>
      <c r="P238" s="15" t="s">
        <v>113</v>
      </c>
      <c r="Q238" s="16">
        <f t="shared" ref="Q238" si="336">COUNTIF(C235:O235, "&gt;=0" )</f>
        <v>8</v>
      </c>
      <c r="S238" s="217"/>
      <c r="T238" s="217"/>
      <c r="U238" s="8" t="s">
        <v>100</v>
      </c>
      <c r="V238" s="15">
        <f t="shared" ref="V238:AH238" si="337">C238*C242</f>
        <v>8.452</v>
      </c>
      <c r="W238" s="15">
        <f t="shared" si="337"/>
        <v>9.5794999999999995</v>
      </c>
      <c r="X238" s="15">
        <f t="shared" si="337"/>
        <v>11.233620000000002</v>
      </c>
      <c r="Y238" s="15">
        <f t="shared" si="337"/>
        <v>10.538600000000001</v>
      </c>
      <c r="Z238" s="15">
        <f t="shared" si="337"/>
        <v>12.3125</v>
      </c>
      <c r="AA238" s="15">
        <f t="shared" si="337"/>
        <v>13.405600000000002</v>
      </c>
      <c r="AB238" s="15">
        <f t="shared" si="337"/>
        <v>12.363840000000001</v>
      </c>
      <c r="AC238" s="15">
        <f t="shared" si="337"/>
        <v>15.456</v>
      </c>
      <c r="AD238" s="15">
        <f t="shared" si="337"/>
        <v>0</v>
      </c>
      <c r="AE238" s="15">
        <f t="shared" si="337"/>
        <v>0</v>
      </c>
      <c r="AF238" s="15">
        <f t="shared" si="337"/>
        <v>0</v>
      </c>
      <c r="AG238" s="15">
        <f t="shared" si="337"/>
        <v>0</v>
      </c>
      <c r="AH238" s="15">
        <f t="shared" si="337"/>
        <v>0</v>
      </c>
      <c r="AI238" s="15">
        <f t="shared" ref="AI238" si="338">R238*R242</f>
        <v>0</v>
      </c>
      <c r="AJ238" s="23">
        <f>SUM(V238:AI238)</f>
        <v>93.341660000000005</v>
      </c>
      <c r="AK238" s="2">
        <v>93.341660000000005</v>
      </c>
    </row>
    <row r="239" spans="1:37" x14ac:dyDescent="0.3">
      <c r="A239" s="6"/>
      <c r="B239" s="2" t="s">
        <v>114</v>
      </c>
      <c r="C239" s="15">
        <v>16.904</v>
      </c>
      <c r="D239" s="15">
        <v>19.158999999999999</v>
      </c>
      <c r="E239" s="15">
        <v>20.150000000000002</v>
      </c>
      <c r="F239" s="15">
        <v>19.582999999999998</v>
      </c>
      <c r="G239" s="15">
        <v>22.042000000000002</v>
      </c>
      <c r="H239" s="15">
        <v>23.520000000000003</v>
      </c>
      <c r="I239" s="15">
        <v>25.238000000000003</v>
      </c>
      <c r="J239" s="15">
        <v>25.596</v>
      </c>
      <c r="K239" s="15"/>
      <c r="L239" s="15"/>
      <c r="M239" s="15"/>
      <c r="N239" s="15"/>
      <c r="O239" s="15"/>
      <c r="P239" s="15"/>
      <c r="Q239" s="15"/>
      <c r="S239" s="6"/>
      <c r="T239" s="6"/>
      <c r="U239" s="8" t="s">
        <v>101</v>
      </c>
      <c r="V239" s="15">
        <f t="shared" ref="V239:AH239" si="339">C239*C242</f>
        <v>8.452</v>
      </c>
      <c r="W239" s="15">
        <f t="shared" si="339"/>
        <v>9.5794999999999995</v>
      </c>
      <c r="X239" s="15">
        <f t="shared" si="339"/>
        <v>10.881000000000002</v>
      </c>
      <c r="Y239" s="15">
        <f t="shared" si="339"/>
        <v>9.0081799999999994</v>
      </c>
      <c r="Z239" s="15">
        <f t="shared" si="339"/>
        <v>11.021000000000001</v>
      </c>
      <c r="AA239" s="15">
        <f t="shared" si="339"/>
        <v>12.230400000000001</v>
      </c>
      <c r="AB239" s="15">
        <f t="shared" si="339"/>
        <v>12.114240000000001</v>
      </c>
      <c r="AC239" s="15">
        <f t="shared" si="339"/>
        <v>15.3576</v>
      </c>
      <c r="AD239" s="15">
        <f t="shared" si="339"/>
        <v>0</v>
      </c>
      <c r="AE239" s="15">
        <f t="shared" si="339"/>
        <v>0</v>
      </c>
      <c r="AF239" s="15">
        <f t="shared" si="339"/>
        <v>0</v>
      </c>
      <c r="AG239" s="15">
        <f t="shared" si="339"/>
        <v>0</v>
      </c>
      <c r="AH239" s="15">
        <f t="shared" si="339"/>
        <v>0</v>
      </c>
      <c r="AI239" s="15">
        <f t="shared" ref="AI239" si="340">R239*R242</f>
        <v>0</v>
      </c>
      <c r="AJ239" s="23">
        <f>SUM(V239:AI239)</f>
        <v>88.643920000000008</v>
      </c>
      <c r="AK239" s="2">
        <v>88.643920000000008</v>
      </c>
    </row>
    <row r="240" spans="1:37" x14ac:dyDescent="0.3">
      <c r="A240" s="6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S240" s="6"/>
      <c r="T240" s="6"/>
      <c r="U240" s="24" t="s">
        <v>115</v>
      </c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19">
        <f>(AJ237-AJ238)/AJ237*100</f>
        <v>-0.25061133097451715</v>
      </c>
      <c r="AK240" s="2">
        <v>-0.25061133097451715</v>
      </c>
    </row>
    <row r="241" spans="1:37" x14ac:dyDescent="0.3">
      <c r="A241" s="6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S241" s="6"/>
      <c r="T241" s="6"/>
      <c r="U241" s="24" t="s">
        <v>103</v>
      </c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19">
        <f>AJ237-AJ239</f>
        <v>4.4643999999999835</v>
      </c>
      <c r="AK241" s="2">
        <v>4.4643999999999835</v>
      </c>
    </row>
    <row r="242" spans="1:37" ht="16.2" thickBot="1" x14ac:dyDescent="0.35">
      <c r="A242" s="6"/>
      <c r="B242" s="2" t="s">
        <v>32</v>
      </c>
      <c r="C242" s="15">
        <v>0.5</v>
      </c>
      <c r="D242" s="15">
        <v>0.5</v>
      </c>
      <c r="E242" s="15">
        <v>0.54</v>
      </c>
      <c r="F242" s="15">
        <v>0.46</v>
      </c>
      <c r="G242" s="15">
        <v>0.5</v>
      </c>
      <c r="H242" s="15">
        <v>0.52</v>
      </c>
      <c r="I242" s="15">
        <v>0.48</v>
      </c>
      <c r="J242" s="15">
        <v>0.6</v>
      </c>
      <c r="K242" s="15"/>
      <c r="L242" s="15"/>
      <c r="M242" s="15"/>
      <c r="N242" s="15"/>
      <c r="O242" s="15"/>
      <c r="P242" s="15"/>
      <c r="Q242" s="15"/>
      <c r="R242" s="16"/>
      <c r="S242" s="6"/>
      <c r="T242" s="6"/>
      <c r="U242" s="8" t="s">
        <v>97</v>
      </c>
      <c r="V242" s="219"/>
      <c r="W242" s="219"/>
      <c r="X242" s="219"/>
      <c r="Y242" s="219"/>
      <c r="Z242" s="219"/>
      <c r="AA242" s="219"/>
      <c r="AB242" s="219"/>
      <c r="AC242" s="219"/>
      <c r="AD242" s="219"/>
      <c r="AE242" s="219"/>
      <c r="AF242" s="219"/>
      <c r="AG242" s="219"/>
      <c r="AH242" s="219"/>
      <c r="AI242" s="220"/>
      <c r="AJ242" s="26"/>
    </row>
    <row r="243" spans="1:37" ht="15.75" customHeight="1" x14ac:dyDescent="0.3">
      <c r="A243" s="216" t="s">
        <v>160</v>
      </c>
      <c r="B243" s="13" t="s">
        <v>98</v>
      </c>
      <c r="C243" s="14">
        <v>0.377</v>
      </c>
      <c r="D243" s="14">
        <v>2.6269999999999998</v>
      </c>
      <c r="E243" s="14">
        <v>4.8099999999999996</v>
      </c>
      <c r="F243" s="14">
        <v>5.5549999999999997</v>
      </c>
      <c r="G243" s="14">
        <v>4.9790000000000001</v>
      </c>
      <c r="H243" s="14">
        <v>4.1619999999999999</v>
      </c>
      <c r="I243" s="14">
        <v>2.7679999999999998</v>
      </c>
      <c r="J243" s="14">
        <v>2.9020000000000001</v>
      </c>
      <c r="K243" s="14">
        <v>2.9630000000000001</v>
      </c>
      <c r="L243" s="14">
        <v>1.0640000000000001</v>
      </c>
      <c r="M243" s="14"/>
      <c r="N243" s="14"/>
      <c r="O243" s="14"/>
      <c r="P243" s="15" t="s">
        <v>109</v>
      </c>
      <c r="Q243" s="16">
        <f t="shared" ref="Q243" si="341">COUNTIF(C243:N243, "&gt;0" )</f>
        <v>10</v>
      </c>
      <c r="S243" s="216" t="s">
        <v>160</v>
      </c>
      <c r="T243" s="216" t="s">
        <v>2</v>
      </c>
      <c r="U243" s="17" t="s">
        <v>98</v>
      </c>
      <c r="V243" s="18">
        <f t="shared" ref="V243:AH243" si="342">C243*C250</f>
        <v>0.1885</v>
      </c>
      <c r="W243" s="18">
        <f t="shared" si="342"/>
        <v>1.15588</v>
      </c>
      <c r="X243" s="18">
        <f t="shared" si="342"/>
        <v>2.5011999999999999</v>
      </c>
      <c r="Y243" s="18">
        <f t="shared" si="342"/>
        <v>2.7774999999999999</v>
      </c>
      <c r="Z243" s="18">
        <f t="shared" si="342"/>
        <v>2.4895</v>
      </c>
      <c r="AA243" s="18">
        <f t="shared" si="342"/>
        <v>2.1642399999999999</v>
      </c>
      <c r="AB243" s="18">
        <f t="shared" si="342"/>
        <v>1.43936</v>
      </c>
      <c r="AC243" s="18">
        <f t="shared" si="342"/>
        <v>1.39296</v>
      </c>
      <c r="AD243" s="18">
        <f t="shared" si="342"/>
        <v>1.3629800000000001</v>
      </c>
      <c r="AE243" s="18">
        <f t="shared" si="342"/>
        <v>0.55327999999999999</v>
      </c>
      <c r="AF243" s="18">
        <f t="shared" si="342"/>
        <v>0</v>
      </c>
      <c r="AG243" s="18">
        <f t="shared" si="342"/>
        <v>0</v>
      </c>
      <c r="AH243" s="18">
        <f t="shared" si="342"/>
        <v>0</v>
      </c>
      <c r="AI243" s="18">
        <f t="shared" ref="AI243" si="343">R243*R250</f>
        <v>0</v>
      </c>
      <c r="AJ243" s="19">
        <f>SUM(V243:AI243)</f>
        <v>16.025400000000001</v>
      </c>
      <c r="AK243" s="2">
        <v>16.025400000000001</v>
      </c>
    </row>
    <row r="244" spans="1:37" ht="15.75" customHeight="1" x14ac:dyDescent="0.3">
      <c r="A244" s="217"/>
      <c r="B244" s="2" t="s">
        <v>110</v>
      </c>
      <c r="C244" s="15" t="s">
        <v>111</v>
      </c>
      <c r="D244" s="15" t="s">
        <v>111</v>
      </c>
      <c r="E244" s="15" t="s">
        <v>112</v>
      </c>
      <c r="F244" s="15" t="s">
        <v>161</v>
      </c>
      <c r="G244" s="15" t="s">
        <v>161</v>
      </c>
      <c r="H244" s="15" t="s">
        <v>161</v>
      </c>
      <c r="I244" s="15" t="s">
        <v>112</v>
      </c>
      <c r="J244" s="15" t="s">
        <v>111</v>
      </c>
      <c r="K244" s="15" t="s">
        <v>111</v>
      </c>
      <c r="L244" s="15" t="s">
        <v>111</v>
      </c>
      <c r="M244" s="15"/>
      <c r="N244" s="15"/>
      <c r="O244" s="15"/>
      <c r="P244" s="15" t="s">
        <v>105</v>
      </c>
      <c r="Q244" s="15">
        <f t="shared" ref="Q244" si="344">COUNTIF(C244:N244,"Cortex")</f>
        <v>5</v>
      </c>
      <c r="S244" s="217"/>
      <c r="T244" s="217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23"/>
    </row>
    <row r="245" spans="1:37" ht="15.75" customHeight="1" x14ac:dyDescent="0.3">
      <c r="A245" s="217"/>
      <c r="B245" s="2" t="s">
        <v>99</v>
      </c>
      <c r="C245" s="15">
        <v>12.547000000000001</v>
      </c>
      <c r="D245" s="15">
        <v>17.510000000000002</v>
      </c>
      <c r="E245" s="15">
        <v>20.481999999999999</v>
      </c>
      <c r="F245" s="15">
        <v>21.103000000000002</v>
      </c>
      <c r="G245" s="15">
        <v>22.663999999999998</v>
      </c>
      <c r="H245" s="15">
        <v>23.297999999999998</v>
      </c>
      <c r="I245" s="15">
        <v>24.855</v>
      </c>
      <c r="J245" s="15">
        <v>25.581</v>
      </c>
      <c r="K245" s="15">
        <v>26.717000000000002</v>
      </c>
      <c r="L245" s="15">
        <v>25.712</v>
      </c>
      <c r="M245" s="15"/>
      <c r="N245" s="15"/>
      <c r="O245" s="15"/>
      <c r="P245" s="15" t="s">
        <v>106</v>
      </c>
      <c r="Q245" s="15">
        <f t="shared" ref="Q245" si="345">Q243-Q244</f>
        <v>5</v>
      </c>
      <c r="S245" s="217"/>
      <c r="T245" s="217"/>
      <c r="U245" s="8" t="s">
        <v>99</v>
      </c>
      <c r="V245" s="15">
        <f t="shared" ref="V245:AH245" si="346">C245*C250</f>
        <v>6.2735000000000003</v>
      </c>
      <c r="W245" s="15">
        <f t="shared" si="346"/>
        <v>7.7044000000000006</v>
      </c>
      <c r="X245" s="15">
        <f t="shared" si="346"/>
        <v>10.650639999999999</v>
      </c>
      <c r="Y245" s="15">
        <f t="shared" si="346"/>
        <v>10.551500000000001</v>
      </c>
      <c r="Z245" s="15">
        <f t="shared" si="346"/>
        <v>11.331999999999999</v>
      </c>
      <c r="AA245" s="15">
        <f t="shared" si="346"/>
        <v>12.11496</v>
      </c>
      <c r="AB245" s="15">
        <f t="shared" si="346"/>
        <v>12.9246</v>
      </c>
      <c r="AC245" s="15">
        <f t="shared" si="346"/>
        <v>12.278879999999999</v>
      </c>
      <c r="AD245" s="15">
        <f t="shared" si="346"/>
        <v>12.289820000000002</v>
      </c>
      <c r="AE245" s="15">
        <f t="shared" si="346"/>
        <v>13.370240000000001</v>
      </c>
      <c r="AF245" s="15">
        <f t="shared" si="346"/>
        <v>0</v>
      </c>
      <c r="AG245" s="15">
        <f t="shared" si="346"/>
        <v>0</v>
      </c>
      <c r="AH245" s="15">
        <f t="shared" si="346"/>
        <v>0</v>
      </c>
      <c r="AI245" s="15">
        <f t="shared" ref="AI245" si="347">R245*R250</f>
        <v>0</v>
      </c>
      <c r="AJ245" s="23">
        <f>SUM(V245:AI245)</f>
        <v>109.49054000000001</v>
      </c>
      <c r="AK245" s="2">
        <v>109.49054000000001</v>
      </c>
    </row>
    <row r="246" spans="1:37" ht="15.75" customHeight="1" x14ac:dyDescent="0.3">
      <c r="A246" s="217"/>
      <c r="B246" s="2" t="s">
        <v>100</v>
      </c>
      <c r="C246" s="15">
        <v>12.763999999999999</v>
      </c>
      <c r="D246" s="15">
        <v>17.648</v>
      </c>
      <c r="E246" s="15">
        <v>20.984000000000002</v>
      </c>
      <c r="F246" s="15">
        <v>22.744999999999997</v>
      </c>
      <c r="G246" s="15">
        <v>24.378999999999998</v>
      </c>
      <c r="H246" s="15">
        <v>25.561</v>
      </c>
      <c r="I246" s="15">
        <v>26.310000000000002</v>
      </c>
      <c r="J246" s="15">
        <v>27.32</v>
      </c>
      <c r="K246" s="15">
        <v>27.233000000000001</v>
      </c>
      <c r="L246" s="15">
        <v>26.771000000000001</v>
      </c>
      <c r="M246" s="15"/>
      <c r="N246" s="15"/>
      <c r="O246" s="15"/>
      <c r="P246" s="15" t="s">
        <v>113</v>
      </c>
      <c r="Q246" s="16">
        <f t="shared" ref="Q246" si="348">COUNTIF(C243:O243, "&gt;=0" )</f>
        <v>10</v>
      </c>
      <c r="S246" s="217"/>
      <c r="T246" s="217"/>
      <c r="U246" s="8" t="s">
        <v>100</v>
      </c>
      <c r="V246" s="15">
        <f t="shared" ref="V246:AH246" si="349">C246*C250</f>
        <v>6.3819999999999997</v>
      </c>
      <c r="W246" s="15">
        <f t="shared" si="349"/>
        <v>7.7651199999999996</v>
      </c>
      <c r="X246" s="15">
        <f t="shared" si="349"/>
        <v>10.91168</v>
      </c>
      <c r="Y246" s="15">
        <f t="shared" si="349"/>
        <v>11.372499999999999</v>
      </c>
      <c r="Z246" s="15">
        <f t="shared" si="349"/>
        <v>12.189499999999999</v>
      </c>
      <c r="AA246" s="15">
        <f t="shared" si="349"/>
        <v>13.29172</v>
      </c>
      <c r="AB246" s="15">
        <f t="shared" si="349"/>
        <v>13.681200000000002</v>
      </c>
      <c r="AC246" s="15">
        <f t="shared" si="349"/>
        <v>13.1136</v>
      </c>
      <c r="AD246" s="15">
        <f t="shared" si="349"/>
        <v>12.527180000000001</v>
      </c>
      <c r="AE246" s="15">
        <f t="shared" si="349"/>
        <v>13.920920000000001</v>
      </c>
      <c r="AF246" s="15">
        <f t="shared" si="349"/>
        <v>0</v>
      </c>
      <c r="AG246" s="15">
        <f t="shared" si="349"/>
        <v>0</v>
      </c>
      <c r="AH246" s="15">
        <f t="shared" si="349"/>
        <v>0</v>
      </c>
      <c r="AI246" s="15">
        <f t="shared" ref="AI246" si="350">R246*R250</f>
        <v>0</v>
      </c>
      <c r="AJ246" s="23">
        <f>SUM(V246:AI246)</f>
        <v>115.15541999999999</v>
      </c>
      <c r="AK246" s="2">
        <v>115.15541999999999</v>
      </c>
    </row>
    <row r="247" spans="1:37" x14ac:dyDescent="0.3">
      <c r="A247" s="6"/>
      <c r="B247" s="2" t="s">
        <v>114</v>
      </c>
      <c r="C247" s="15">
        <v>12.386999999999999</v>
      </c>
      <c r="D247" s="15">
        <v>15.021000000000001</v>
      </c>
      <c r="E247" s="15">
        <v>16.174000000000003</v>
      </c>
      <c r="F247" s="15">
        <v>17.189999999999998</v>
      </c>
      <c r="G247" s="15">
        <v>19.399999999999999</v>
      </c>
      <c r="H247" s="15">
        <v>21.399000000000001</v>
      </c>
      <c r="I247" s="15">
        <v>23.542000000000002</v>
      </c>
      <c r="J247" s="15">
        <v>24.417999999999999</v>
      </c>
      <c r="K247" s="15">
        <v>24.27</v>
      </c>
      <c r="L247" s="15">
        <v>25.707000000000001</v>
      </c>
      <c r="M247" s="15"/>
      <c r="N247" s="15"/>
      <c r="O247" s="15"/>
      <c r="P247" s="15"/>
      <c r="Q247" s="15"/>
      <c r="S247" s="6"/>
      <c r="T247" s="6"/>
      <c r="U247" s="8" t="s">
        <v>101</v>
      </c>
      <c r="V247" s="15">
        <f t="shared" ref="V247:AH247" si="351">C247*C250</f>
        <v>6.1934999999999993</v>
      </c>
      <c r="W247" s="15">
        <f t="shared" si="351"/>
        <v>6.6092400000000007</v>
      </c>
      <c r="X247" s="15">
        <f t="shared" si="351"/>
        <v>8.4104800000000015</v>
      </c>
      <c r="Y247" s="15">
        <f t="shared" si="351"/>
        <v>8.5949999999999989</v>
      </c>
      <c r="Z247" s="15">
        <f t="shared" si="351"/>
        <v>9.6999999999999993</v>
      </c>
      <c r="AA247" s="15">
        <f t="shared" si="351"/>
        <v>11.12748</v>
      </c>
      <c r="AB247" s="15">
        <f t="shared" si="351"/>
        <v>12.241840000000002</v>
      </c>
      <c r="AC247" s="15">
        <f t="shared" si="351"/>
        <v>11.72064</v>
      </c>
      <c r="AD247" s="15">
        <f t="shared" si="351"/>
        <v>11.164200000000001</v>
      </c>
      <c r="AE247" s="15">
        <f t="shared" si="351"/>
        <v>13.367640000000002</v>
      </c>
      <c r="AF247" s="15">
        <f t="shared" si="351"/>
        <v>0</v>
      </c>
      <c r="AG247" s="15">
        <f t="shared" si="351"/>
        <v>0</v>
      </c>
      <c r="AH247" s="15">
        <f t="shared" si="351"/>
        <v>0</v>
      </c>
      <c r="AI247" s="15">
        <f t="shared" ref="AI247" si="352">R247*R250</f>
        <v>0</v>
      </c>
      <c r="AJ247" s="23">
        <f>SUM(V247:AI247)</f>
        <v>99.130020000000002</v>
      </c>
      <c r="AK247" s="2">
        <v>99.130020000000002</v>
      </c>
    </row>
    <row r="248" spans="1:37" x14ac:dyDescent="0.3">
      <c r="A248" s="6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S248" s="6"/>
      <c r="T248" s="6"/>
      <c r="U248" s="24" t="s">
        <v>115</v>
      </c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19">
        <f>(AJ245-AJ246)/AJ245*100</f>
        <v>-5.1738533758258765</v>
      </c>
      <c r="AK248" s="2">
        <v>-5.1738533758258765</v>
      </c>
    </row>
    <row r="249" spans="1:37" x14ac:dyDescent="0.3">
      <c r="A249" s="6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S249" s="6"/>
      <c r="T249" s="6"/>
      <c r="U249" s="24" t="s">
        <v>103</v>
      </c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19">
        <f>AJ245-AJ247</f>
        <v>10.360520000000008</v>
      </c>
      <c r="AK249" s="2">
        <v>10.360520000000008</v>
      </c>
    </row>
    <row r="250" spans="1:37" ht="16.2" thickBot="1" x14ac:dyDescent="0.35">
      <c r="A250" s="6"/>
      <c r="B250" s="2" t="s">
        <v>32</v>
      </c>
      <c r="C250" s="15">
        <v>0.5</v>
      </c>
      <c r="D250" s="15">
        <v>0.44</v>
      </c>
      <c r="E250" s="15">
        <v>0.52</v>
      </c>
      <c r="F250" s="15">
        <v>0.5</v>
      </c>
      <c r="G250" s="15">
        <v>0.5</v>
      </c>
      <c r="H250" s="15">
        <v>0.52</v>
      </c>
      <c r="I250" s="15">
        <v>0.52</v>
      </c>
      <c r="J250" s="15">
        <v>0.48</v>
      </c>
      <c r="K250" s="15">
        <v>0.46</v>
      </c>
      <c r="L250" s="15">
        <v>0.52</v>
      </c>
      <c r="M250" s="15"/>
      <c r="N250" s="15"/>
      <c r="O250" s="15"/>
      <c r="P250" s="15"/>
      <c r="Q250" s="15"/>
      <c r="R250" s="16"/>
      <c r="S250" s="6"/>
      <c r="T250" s="6"/>
      <c r="U250" s="8" t="s">
        <v>97</v>
      </c>
      <c r="V250" s="219"/>
      <c r="W250" s="219"/>
      <c r="X250" s="219"/>
      <c r="Y250" s="219"/>
      <c r="Z250" s="219"/>
      <c r="AA250" s="219"/>
      <c r="AB250" s="219"/>
      <c r="AC250" s="219"/>
      <c r="AD250" s="219"/>
      <c r="AE250" s="219"/>
      <c r="AF250" s="219"/>
      <c r="AG250" s="219"/>
      <c r="AH250" s="219"/>
      <c r="AI250" s="220"/>
      <c r="AJ250" s="26"/>
    </row>
    <row r="251" spans="1:37" ht="15.75" customHeight="1" x14ac:dyDescent="0.3">
      <c r="A251" s="216" t="s">
        <v>162</v>
      </c>
      <c r="B251" s="13" t="s">
        <v>98</v>
      </c>
      <c r="C251" s="14">
        <v>0</v>
      </c>
      <c r="D251" s="14">
        <v>0</v>
      </c>
      <c r="E251" s="14">
        <v>1.696</v>
      </c>
      <c r="F251" s="14">
        <v>2.645</v>
      </c>
      <c r="G251" s="14">
        <v>3.2330000000000001</v>
      </c>
      <c r="H251" s="14">
        <v>3.4820000000000002</v>
      </c>
      <c r="I251" s="14">
        <v>2.9620000000000002</v>
      </c>
      <c r="J251" s="14">
        <v>2.8639999999999999</v>
      </c>
      <c r="K251" s="14">
        <v>2.4470000000000001</v>
      </c>
      <c r="L251" s="14">
        <v>1.5920000000000001</v>
      </c>
      <c r="M251" s="14">
        <v>1.3409999999999997</v>
      </c>
      <c r="N251" s="14">
        <v>0.86599999999999999</v>
      </c>
      <c r="O251" s="14"/>
      <c r="P251" s="15" t="s">
        <v>109</v>
      </c>
      <c r="Q251" s="16">
        <f t="shared" ref="Q251" si="353">COUNTIF(C251:N251, "&gt;0" )</f>
        <v>10</v>
      </c>
      <c r="S251" s="216" t="s">
        <v>162</v>
      </c>
      <c r="T251" s="216" t="s">
        <v>2</v>
      </c>
      <c r="U251" s="17" t="s">
        <v>98</v>
      </c>
      <c r="V251" s="18">
        <f t="shared" ref="V251:AH251" si="354">C251*C258</f>
        <v>0</v>
      </c>
      <c r="W251" s="18">
        <f t="shared" si="354"/>
        <v>0</v>
      </c>
      <c r="X251" s="18">
        <f t="shared" si="354"/>
        <v>0.78015999999999996</v>
      </c>
      <c r="Y251" s="18">
        <f t="shared" si="354"/>
        <v>1.3225</v>
      </c>
      <c r="Z251" s="18">
        <f t="shared" si="354"/>
        <v>1.6165</v>
      </c>
      <c r="AA251" s="18">
        <f t="shared" si="354"/>
        <v>1.7410000000000001</v>
      </c>
      <c r="AB251" s="18">
        <f t="shared" si="354"/>
        <v>1.5994800000000002</v>
      </c>
      <c r="AC251" s="18">
        <f t="shared" si="354"/>
        <v>1.3174399999999999</v>
      </c>
      <c r="AD251" s="18">
        <f t="shared" si="354"/>
        <v>1.2235</v>
      </c>
      <c r="AE251" s="18">
        <f t="shared" si="354"/>
        <v>0.79600000000000004</v>
      </c>
      <c r="AF251" s="18">
        <f t="shared" si="354"/>
        <v>0.67049999999999987</v>
      </c>
      <c r="AG251" s="18">
        <f t="shared" si="354"/>
        <v>0.45032</v>
      </c>
      <c r="AH251" s="18">
        <f t="shared" si="354"/>
        <v>0</v>
      </c>
      <c r="AI251" s="18">
        <f t="shared" ref="AI251" si="355">R251*R258</f>
        <v>0</v>
      </c>
      <c r="AJ251" s="19">
        <f>SUM(V251:AI251)</f>
        <v>11.517399999999999</v>
      </c>
      <c r="AK251" s="2">
        <v>11.517399999999999</v>
      </c>
    </row>
    <row r="252" spans="1:37" ht="15.75" customHeight="1" x14ac:dyDescent="0.3">
      <c r="A252" s="217"/>
      <c r="B252" s="2" t="s">
        <v>110</v>
      </c>
      <c r="C252" s="15"/>
      <c r="D252" s="15"/>
      <c r="E252" s="15" t="s">
        <v>111</v>
      </c>
      <c r="F252" s="15" t="s">
        <v>111</v>
      </c>
      <c r="G252" s="15" t="s">
        <v>111</v>
      </c>
      <c r="H252" s="15" t="s">
        <v>112</v>
      </c>
      <c r="I252" s="15" t="s">
        <v>112</v>
      </c>
      <c r="J252" s="15" t="s">
        <v>112</v>
      </c>
      <c r="K252" s="15" t="s">
        <v>112</v>
      </c>
      <c r="L252" s="15" t="s">
        <v>111</v>
      </c>
      <c r="M252" s="15" t="s">
        <v>111</v>
      </c>
      <c r="N252" s="15" t="s">
        <v>111</v>
      </c>
      <c r="O252" s="15"/>
      <c r="P252" s="15" t="s">
        <v>105</v>
      </c>
      <c r="Q252" s="15">
        <f t="shared" ref="Q252" si="356">COUNTIF(C252:N252,"Cortex")</f>
        <v>6</v>
      </c>
      <c r="S252" s="217"/>
      <c r="T252" s="217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23"/>
    </row>
    <row r="253" spans="1:37" ht="15.75" customHeight="1" x14ac:dyDescent="0.3">
      <c r="A253" s="217"/>
      <c r="B253" s="2" t="s">
        <v>99</v>
      </c>
      <c r="C253" s="15">
        <v>11.044</v>
      </c>
      <c r="D253" s="15">
        <v>14.746</v>
      </c>
      <c r="E253" s="15">
        <v>16.507999999999999</v>
      </c>
      <c r="F253" s="15">
        <v>18.936</v>
      </c>
      <c r="G253" s="15">
        <v>20.706</v>
      </c>
      <c r="H253" s="15">
        <v>22.725999999999999</v>
      </c>
      <c r="I253" s="15">
        <v>23.754999999999999</v>
      </c>
      <c r="J253" s="15">
        <v>24.911999999999999</v>
      </c>
      <c r="K253" s="15">
        <v>24.735000000000003</v>
      </c>
      <c r="L253" s="15">
        <v>25.581</v>
      </c>
      <c r="M253" s="15">
        <v>24.599999999999998</v>
      </c>
      <c r="N253" s="15">
        <v>23.64</v>
      </c>
      <c r="O253" s="15"/>
      <c r="P253" s="15" t="s">
        <v>106</v>
      </c>
      <c r="Q253" s="15">
        <f t="shared" ref="Q253" si="357">Q251-Q252</f>
        <v>4</v>
      </c>
      <c r="S253" s="217"/>
      <c r="T253" s="217"/>
      <c r="U253" s="8" t="s">
        <v>99</v>
      </c>
      <c r="V253" s="15">
        <f t="shared" ref="V253:AH253" si="358">C253*C258</f>
        <v>5.5220000000000002</v>
      </c>
      <c r="W253" s="15">
        <f t="shared" si="358"/>
        <v>6.4882400000000002</v>
      </c>
      <c r="X253" s="15">
        <f t="shared" si="358"/>
        <v>7.59368</v>
      </c>
      <c r="Y253" s="15">
        <f t="shared" si="358"/>
        <v>9.468</v>
      </c>
      <c r="Z253" s="15">
        <f t="shared" si="358"/>
        <v>10.353</v>
      </c>
      <c r="AA253" s="15">
        <f t="shared" si="358"/>
        <v>11.363</v>
      </c>
      <c r="AB253" s="15">
        <f t="shared" si="358"/>
        <v>12.8277</v>
      </c>
      <c r="AC253" s="15">
        <f t="shared" si="358"/>
        <v>11.459519999999999</v>
      </c>
      <c r="AD253" s="15">
        <f t="shared" si="358"/>
        <v>12.367500000000001</v>
      </c>
      <c r="AE253" s="15">
        <f t="shared" si="358"/>
        <v>12.7905</v>
      </c>
      <c r="AF253" s="15">
        <f t="shared" si="358"/>
        <v>12.299999999999999</v>
      </c>
      <c r="AG253" s="15">
        <f t="shared" si="358"/>
        <v>12.292800000000002</v>
      </c>
      <c r="AH253" s="15">
        <f t="shared" si="358"/>
        <v>0</v>
      </c>
      <c r="AI253" s="15">
        <f t="shared" ref="AI253" si="359">R253*R258</f>
        <v>0</v>
      </c>
      <c r="AJ253" s="23">
        <f>SUM(V253:AI253)</f>
        <v>124.82594</v>
      </c>
      <c r="AK253" s="2">
        <v>124.82594</v>
      </c>
    </row>
    <row r="254" spans="1:37" ht="15.75" customHeight="1" x14ac:dyDescent="0.3">
      <c r="A254" s="217"/>
      <c r="B254" s="2" t="s">
        <v>100</v>
      </c>
      <c r="C254" s="15">
        <v>10.170000000000002</v>
      </c>
      <c r="D254" s="15">
        <v>13.833</v>
      </c>
      <c r="E254" s="15">
        <v>15.769</v>
      </c>
      <c r="F254" s="15">
        <v>17.236000000000001</v>
      </c>
      <c r="G254" s="15">
        <v>19.698</v>
      </c>
      <c r="H254" s="15">
        <v>18.765000000000001</v>
      </c>
      <c r="I254" s="15">
        <v>21.025000000000002</v>
      </c>
      <c r="J254" s="15">
        <v>23.196000000000002</v>
      </c>
      <c r="K254" s="15">
        <v>24.53</v>
      </c>
      <c r="L254" s="15">
        <v>24.620999999999999</v>
      </c>
      <c r="M254" s="15">
        <v>24.402999999999999</v>
      </c>
      <c r="N254" s="15">
        <v>23.484000000000002</v>
      </c>
      <c r="O254" s="15"/>
      <c r="P254" s="15" t="s">
        <v>113</v>
      </c>
      <c r="Q254" s="16">
        <f t="shared" ref="Q254" si="360">COUNTIF(C251:O251, "&gt;=0" )</f>
        <v>12</v>
      </c>
      <c r="S254" s="217"/>
      <c r="T254" s="217"/>
      <c r="U254" s="8" t="s">
        <v>100</v>
      </c>
      <c r="V254" s="15">
        <f t="shared" ref="V254:AH254" si="361">C254*C258</f>
        <v>5.0850000000000009</v>
      </c>
      <c r="W254" s="15">
        <f t="shared" si="361"/>
        <v>6.0865200000000002</v>
      </c>
      <c r="X254" s="15">
        <f t="shared" si="361"/>
        <v>7.2537400000000005</v>
      </c>
      <c r="Y254" s="15">
        <f t="shared" si="361"/>
        <v>8.6180000000000003</v>
      </c>
      <c r="Z254" s="15">
        <f t="shared" si="361"/>
        <v>9.8490000000000002</v>
      </c>
      <c r="AA254" s="15">
        <f t="shared" si="361"/>
        <v>9.3825000000000003</v>
      </c>
      <c r="AB254" s="15">
        <f t="shared" si="361"/>
        <v>11.353500000000002</v>
      </c>
      <c r="AC254" s="15">
        <f t="shared" si="361"/>
        <v>10.670160000000001</v>
      </c>
      <c r="AD254" s="15">
        <f t="shared" si="361"/>
        <v>12.265000000000001</v>
      </c>
      <c r="AE254" s="15">
        <f t="shared" si="361"/>
        <v>12.310499999999999</v>
      </c>
      <c r="AF254" s="15">
        <f t="shared" si="361"/>
        <v>12.201499999999999</v>
      </c>
      <c r="AG254" s="15">
        <f t="shared" si="361"/>
        <v>12.211680000000001</v>
      </c>
      <c r="AH254" s="15">
        <f t="shared" si="361"/>
        <v>0</v>
      </c>
      <c r="AI254" s="15">
        <f t="shared" ref="AI254" si="362">R254*R258</f>
        <v>0</v>
      </c>
      <c r="AJ254" s="23">
        <f>SUM(V254:AI254)</f>
        <v>117.28710000000001</v>
      </c>
      <c r="AK254" s="2">
        <v>117.28710000000001</v>
      </c>
    </row>
    <row r="255" spans="1:37" x14ac:dyDescent="0.3">
      <c r="A255" s="6"/>
      <c r="B255" s="2" t="s">
        <v>114</v>
      </c>
      <c r="C255" s="15">
        <v>10.170000000000002</v>
      </c>
      <c r="D255" s="15">
        <v>13.833</v>
      </c>
      <c r="E255" s="15">
        <v>14.073</v>
      </c>
      <c r="F255" s="15">
        <v>14.591000000000001</v>
      </c>
      <c r="G255" s="15">
        <v>16.465</v>
      </c>
      <c r="H255" s="15">
        <v>15.283000000000001</v>
      </c>
      <c r="I255" s="15">
        <v>18.063000000000002</v>
      </c>
      <c r="J255" s="15">
        <v>20.332000000000001</v>
      </c>
      <c r="K255" s="15">
        <v>22.083000000000002</v>
      </c>
      <c r="L255" s="15">
        <v>23.029</v>
      </c>
      <c r="M255" s="15">
        <v>23.061999999999998</v>
      </c>
      <c r="N255" s="15">
        <v>22.618000000000002</v>
      </c>
      <c r="O255" s="15"/>
      <c r="P255" s="15"/>
      <c r="Q255" s="15"/>
      <c r="S255" s="6"/>
      <c r="T255" s="6"/>
      <c r="U255" s="8" t="s">
        <v>101</v>
      </c>
      <c r="V255" s="15">
        <f t="shared" ref="V255:AH255" si="363">C255*C258</f>
        <v>5.0850000000000009</v>
      </c>
      <c r="W255" s="15">
        <f t="shared" si="363"/>
        <v>6.0865200000000002</v>
      </c>
      <c r="X255" s="15">
        <f t="shared" si="363"/>
        <v>6.4735800000000001</v>
      </c>
      <c r="Y255" s="15">
        <f t="shared" si="363"/>
        <v>7.2955000000000005</v>
      </c>
      <c r="Z255" s="15">
        <f t="shared" si="363"/>
        <v>8.2324999999999999</v>
      </c>
      <c r="AA255" s="15">
        <f t="shared" si="363"/>
        <v>7.6415000000000006</v>
      </c>
      <c r="AB255" s="15">
        <f t="shared" si="363"/>
        <v>9.7540200000000024</v>
      </c>
      <c r="AC255" s="15">
        <f t="shared" si="363"/>
        <v>9.3527200000000015</v>
      </c>
      <c r="AD255" s="15">
        <f t="shared" si="363"/>
        <v>11.041500000000001</v>
      </c>
      <c r="AE255" s="15">
        <f t="shared" si="363"/>
        <v>11.5145</v>
      </c>
      <c r="AF255" s="15">
        <f t="shared" si="363"/>
        <v>11.530999999999999</v>
      </c>
      <c r="AG255" s="15">
        <f t="shared" si="363"/>
        <v>11.761360000000002</v>
      </c>
      <c r="AH255" s="15">
        <f t="shared" si="363"/>
        <v>0</v>
      </c>
      <c r="AI255" s="15">
        <f t="shared" ref="AI255" si="364">R255*R258</f>
        <v>0</v>
      </c>
      <c r="AJ255" s="23">
        <f>SUM(V255:AI255)</f>
        <v>105.7697</v>
      </c>
      <c r="AK255" s="2">
        <v>105.7697</v>
      </c>
    </row>
    <row r="256" spans="1:37" x14ac:dyDescent="0.3">
      <c r="A256" s="6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S256" s="6"/>
      <c r="T256" s="6"/>
      <c r="U256" s="24" t="s">
        <v>115</v>
      </c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19">
        <f>(AJ253-AJ254)/AJ253*100</f>
        <v>6.0394818576972007</v>
      </c>
      <c r="AK256" s="2">
        <v>6.0394818576972007</v>
      </c>
    </row>
    <row r="257" spans="1:37" x14ac:dyDescent="0.3">
      <c r="A257" s="6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S257" s="6"/>
      <c r="T257" s="6"/>
      <c r="U257" s="24" t="s">
        <v>103</v>
      </c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19">
        <f>AJ253-AJ255</f>
        <v>19.056240000000003</v>
      </c>
      <c r="AK257" s="2">
        <v>19.056240000000003</v>
      </c>
    </row>
    <row r="258" spans="1:37" ht="16.2" thickBot="1" x14ac:dyDescent="0.35">
      <c r="A258" s="6"/>
      <c r="B258" s="2" t="s">
        <v>32</v>
      </c>
      <c r="C258" s="15">
        <v>0.5</v>
      </c>
      <c r="D258" s="15">
        <v>0.44</v>
      </c>
      <c r="E258" s="15">
        <v>0.46</v>
      </c>
      <c r="F258" s="15">
        <v>0.5</v>
      </c>
      <c r="G258" s="15">
        <v>0.5</v>
      </c>
      <c r="H258" s="15">
        <v>0.5</v>
      </c>
      <c r="I258" s="15">
        <v>0.54</v>
      </c>
      <c r="J258" s="15">
        <v>0.46</v>
      </c>
      <c r="K258" s="15">
        <v>0.5</v>
      </c>
      <c r="L258" s="15">
        <v>0.5</v>
      </c>
      <c r="M258" s="15">
        <v>0.5</v>
      </c>
      <c r="N258" s="15">
        <v>0.52</v>
      </c>
      <c r="O258" s="15"/>
      <c r="P258" s="15"/>
      <c r="Q258" s="15"/>
      <c r="R258" s="16"/>
      <c r="S258" s="6"/>
      <c r="T258" s="6"/>
      <c r="U258" s="8" t="s">
        <v>97</v>
      </c>
      <c r="V258" s="221" t="s">
        <v>163</v>
      </c>
      <c r="W258" s="221"/>
      <c r="X258" s="221"/>
      <c r="Y258" s="221"/>
      <c r="Z258" s="221"/>
      <c r="AA258" s="221"/>
      <c r="AB258" s="221"/>
      <c r="AC258" s="221"/>
      <c r="AD258" s="221"/>
      <c r="AE258" s="221"/>
      <c r="AF258" s="221"/>
      <c r="AG258" s="221"/>
      <c r="AH258" s="221"/>
      <c r="AI258" s="222"/>
      <c r="AJ258" s="26"/>
    </row>
    <row r="259" spans="1:37" ht="15.75" customHeight="1" x14ac:dyDescent="0.3">
      <c r="A259" s="216" t="s">
        <v>164</v>
      </c>
      <c r="B259" s="13" t="s">
        <v>98</v>
      </c>
      <c r="C259" s="14">
        <v>0</v>
      </c>
      <c r="D259" s="14">
        <v>0</v>
      </c>
      <c r="E259" s="14">
        <v>0.79400000000000004</v>
      </c>
      <c r="F259" s="14">
        <v>1.6140000000000001</v>
      </c>
      <c r="G259" s="14">
        <v>2.7229999999999999</v>
      </c>
      <c r="H259" s="14">
        <v>2.56</v>
      </c>
      <c r="I259" s="14">
        <v>3.3719999999999999</v>
      </c>
      <c r="J259" s="14">
        <v>2.9820000000000002</v>
      </c>
      <c r="K259" s="14">
        <v>3.6349999999999998</v>
      </c>
      <c r="L259" s="14">
        <v>3.448</v>
      </c>
      <c r="M259" s="14">
        <v>2.8140000000000001</v>
      </c>
      <c r="N259" s="14">
        <v>1.3129999999999999</v>
      </c>
      <c r="O259" s="14">
        <v>0.73399999999999999</v>
      </c>
      <c r="P259" s="15" t="s">
        <v>109</v>
      </c>
      <c r="Q259" s="16">
        <f t="shared" ref="Q259" si="365">COUNTIF(C259:N259, "&gt;0" )</f>
        <v>10</v>
      </c>
      <c r="S259" s="216" t="s">
        <v>164</v>
      </c>
      <c r="T259" s="216" t="s">
        <v>2</v>
      </c>
      <c r="U259" s="17" t="s">
        <v>98</v>
      </c>
      <c r="V259" s="18">
        <f t="shared" ref="V259:AH259" si="366">C259*C266</f>
        <v>0</v>
      </c>
      <c r="W259" s="18">
        <f t="shared" si="366"/>
        <v>0</v>
      </c>
      <c r="X259" s="18">
        <f t="shared" si="366"/>
        <v>0.38112000000000001</v>
      </c>
      <c r="Y259" s="18">
        <f t="shared" si="366"/>
        <v>0.80700000000000005</v>
      </c>
      <c r="Z259" s="18">
        <f t="shared" si="366"/>
        <v>1.3614999999999999</v>
      </c>
      <c r="AA259" s="18">
        <f t="shared" si="366"/>
        <v>1.28</v>
      </c>
      <c r="AB259" s="18">
        <f t="shared" si="366"/>
        <v>1.6859999999999999</v>
      </c>
      <c r="AC259" s="18">
        <f t="shared" si="366"/>
        <v>1.4910000000000001</v>
      </c>
      <c r="AD259" s="18">
        <f t="shared" si="366"/>
        <v>1.8901999999999999</v>
      </c>
      <c r="AE259" s="18">
        <f t="shared" si="366"/>
        <v>1.6550399999999998</v>
      </c>
      <c r="AF259" s="18">
        <f t="shared" si="366"/>
        <v>1.74468</v>
      </c>
      <c r="AG259" s="18">
        <f t="shared" si="366"/>
        <v>0.49893999999999999</v>
      </c>
      <c r="AH259" s="18">
        <f t="shared" si="366"/>
        <v>0.36699999999999999</v>
      </c>
      <c r="AI259" s="18">
        <f t="shared" ref="AI259" si="367">R259*R266</f>
        <v>0</v>
      </c>
      <c r="AJ259" s="19">
        <f>SUM(V259:AI259)</f>
        <v>13.162479999999999</v>
      </c>
      <c r="AK259" s="2">
        <v>13.162479999999999</v>
      </c>
    </row>
    <row r="260" spans="1:37" ht="15.75" customHeight="1" x14ac:dyDescent="0.3">
      <c r="A260" s="217"/>
      <c r="B260" s="2" t="s">
        <v>110</v>
      </c>
      <c r="C260" s="15"/>
      <c r="D260" s="15"/>
      <c r="E260" s="15" t="s">
        <v>111</v>
      </c>
      <c r="F260" s="15" t="s">
        <v>111</v>
      </c>
      <c r="G260" s="15" t="s">
        <v>111</v>
      </c>
      <c r="H260" s="15" t="s">
        <v>111</v>
      </c>
      <c r="I260" s="15" t="s">
        <v>112</v>
      </c>
      <c r="J260" s="15" t="s">
        <v>112</v>
      </c>
      <c r="K260" s="15" t="s">
        <v>112</v>
      </c>
      <c r="L260" s="15" t="s">
        <v>112</v>
      </c>
      <c r="M260" s="15" t="s">
        <v>111</v>
      </c>
      <c r="N260" s="15" t="s">
        <v>111</v>
      </c>
      <c r="O260" s="15" t="s">
        <v>111</v>
      </c>
      <c r="P260" s="15" t="s">
        <v>105</v>
      </c>
      <c r="Q260" s="15">
        <f t="shared" ref="Q260" si="368">COUNTIF(C260:N260,"Cortex")</f>
        <v>6</v>
      </c>
      <c r="S260" s="217"/>
      <c r="T260" s="217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23"/>
    </row>
    <row r="261" spans="1:37" ht="16.05" customHeight="1" x14ac:dyDescent="0.3">
      <c r="A261" s="217"/>
      <c r="B261" s="2" t="s">
        <v>99</v>
      </c>
      <c r="C261" s="15">
        <v>8.7949999999999999</v>
      </c>
      <c r="D261" s="15">
        <v>12.476000000000001</v>
      </c>
      <c r="E261" s="15">
        <v>14.778</v>
      </c>
      <c r="F261" s="15">
        <v>17.440999999999999</v>
      </c>
      <c r="G261" s="15">
        <v>18.940000000000001</v>
      </c>
      <c r="H261" s="15">
        <v>20.748999999999999</v>
      </c>
      <c r="I261" s="15">
        <v>22.265000000000001</v>
      </c>
      <c r="J261" s="15">
        <v>23.702999999999999</v>
      </c>
      <c r="K261" s="15">
        <v>24.279</v>
      </c>
      <c r="L261" s="15">
        <v>25.007000000000001</v>
      </c>
      <c r="M261" s="15">
        <v>24.571999999999999</v>
      </c>
      <c r="N261" s="15">
        <v>24.065000000000001</v>
      </c>
      <c r="O261" s="15">
        <v>23.827999999999999</v>
      </c>
      <c r="P261" s="15" t="s">
        <v>106</v>
      </c>
      <c r="Q261" s="15">
        <f t="shared" ref="Q261" si="369">Q259-Q260</f>
        <v>4</v>
      </c>
      <c r="S261" s="217"/>
      <c r="T261" s="217"/>
      <c r="U261" s="8" t="s">
        <v>99</v>
      </c>
      <c r="V261" s="15">
        <f t="shared" ref="V261:AH261" si="370">C261*C266</f>
        <v>4.3975</v>
      </c>
      <c r="W261" s="15">
        <f t="shared" si="370"/>
        <v>6.4875200000000008</v>
      </c>
      <c r="X261" s="15">
        <f t="shared" si="370"/>
        <v>7.0934400000000002</v>
      </c>
      <c r="Y261" s="15">
        <f t="shared" si="370"/>
        <v>8.7204999999999995</v>
      </c>
      <c r="Z261" s="15">
        <f t="shared" si="370"/>
        <v>9.4700000000000006</v>
      </c>
      <c r="AA261" s="15">
        <f t="shared" si="370"/>
        <v>10.374499999999999</v>
      </c>
      <c r="AB261" s="15">
        <f t="shared" si="370"/>
        <v>11.1325</v>
      </c>
      <c r="AC261" s="15">
        <f t="shared" si="370"/>
        <v>11.8515</v>
      </c>
      <c r="AD261" s="15">
        <f t="shared" si="370"/>
        <v>12.625080000000001</v>
      </c>
      <c r="AE261" s="15">
        <f t="shared" si="370"/>
        <v>12.003360000000001</v>
      </c>
      <c r="AF261" s="15">
        <f t="shared" si="370"/>
        <v>15.234639999999999</v>
      </c>
      <c r="AG261" s="15">
        <f t="shared" si="370"/>
        <v>9.1447000000000003</v>
      </c>
      <c r="AH261" s="15">
        <f t="shared" si="370"/>
        <v>11.914</v>
      </c>
      <c r="AI261" s="15">
        <f t="shared" ref="AI261" si="371">R261*R266</f>
        <v>0</v>
      </c>
      <c r="AJ261" s="23">
        <f>SUM(V261:AI261)</f>
        <v>130.44923999999997</v>
      </c>
      <c r="AK261" s="2">
        <v>130.44923999999997</v>
      </c>
    </row>
    <row r="262" spans="1:37" ht="15.75" customHeight="1" x14ac:dyDescent="0.3">
      <c r="A262" s="217"/>
      <c r="B262" s="2" t="s">
        <v>100</v>
      </c>
      <c r="C262" s="15">
        <v>9.1199999999999992</v>
      </c>
      <c r="D262" s="15">
        <v>11.792999999999999</v>
      </c>
      <c r="E262" s="15">
        <v>13.976000000000001</v>
      </c>
      <c r="F262" s="15">
        <v>16.440999999999999</v>
      </c>
      <c r="G262" s="15">
        <v>17.896999999999998</v>
      </c>
      <c r="H262" s="15">
        <v>19.669</v>
      </c>
      <c r="I262" s="15">
        <v>20.773</v>
      </c>
      <c r="J262" s="15">
        <v>21.437999999999999</v>
      </c>
      <c r="K262" s="15">
        <v>23.41</v>
      </c>
      <c r="L262" s="15">
        <v>24.404</v>
      </c>
      <c r="M262" s="15">
        <v>24.602</v>
      </c>
      <c r="N262" s="15">
        <v>23.599000000000004</v>
      </c>
      <c r="O262" s="15">
        <v>23.033000000000001</v>
      </c>
      <c r="P262" s="15" t="s">
        <v>113</v>
      </c>
      <c r="Q262" s="16">
        <f t="shared" ref="Q262" si="372">COUNTIF(C259:O259, "&gt;=0" )</f>
        <v>13</v>
      </c>
      <c r="S262" s="217"/>
      <c r="T262" s="217"/>
      <c r="U262" s="8" t="s">
        <v>100</v>
      </c>
      <c r="V262" s="15">
        <f t="shared" ref="V262:AH262" si="373">C262*C266</f>
        <v>4.5599999999999996</v>
      </c>
      <c r="W262" s="15">
        <f t="shared" si="373"/>
        <v>6.1323600000000003</v>
      </c>
      <c r="X262" s="15">
        <f t="shared" si="373"/>
        <v>6.7084799999999998</v>
      </c>
      <c r="Y262" s="15">
        <f t="shared" si="373"/>
        <v>8.2204999999999995</v>
      </c>
      <c r="Z262" s="15">
        <f t="shared" si="373"/>
        <v>8.9484999999999992</v>
      </c>
      <c r="AA262" s="15">
        <f t="shared" si="373"/>
        <v>9.8345000000000002</v>
      </c>
      <c r="AB262" s="15">
        <f t="shared" si="373"/>
        <v>10.3865</v>
      </c>
      <c r="AC262" s="15">
        <f t="shared" si="373"/>
        <v>10.718999999999999</v>
      </c>
      <c r="AD262" s="15">
        <f t="shared" si="373"/>
        <v>12.173200000000001</v>
      </c>
      <c r="AE262" s="15">
        <f t="shared" si="373"/>
        <v>11.71392</v>
      </c>
      <c r="AF262" s="15">
        <f t="shared" si="373"/>
        <v>15.25324</v>
      </c>
      <c r="AG262" s="15">
        <f t="shared" si="373"/>
        <v>8.9676200000000019</v>
      </c>
      <c r="AH262" s="15">
        <f t="shared" si="373"/>
        <v>11.516500000000001</v>
      </c>
      <c r="AI262" s="15">
        <f t="shared" ref="AI262" si="374">R262*R266</f>
        <v>0</v>
      </c>
      <c r="AJ262" s="23">
        <f>SUM(V262:AI262)</f>
        <v>125.13432</v>
      </c>
      <c r="AK262" s="2">
        <v>125.13432</v>
      </c>
    </row>
    <row r="263" spans="1:37" x14ac:dyDescent="0.3">
      <c r="A263" s="6"/>
      <c r="B263" s="2" t="s">
        <v>114</v>
      </c>
      <c r="C263" s="15">
        <v>9.1199999999999992</v>
      </c>
      <c r="D263" s="15">
        <v>11.792999999999999</v>
      </c>
      <c r="E263" s="15">
        <v>13.182</v>
      </c>
      <c r="F263" s="15">
        <v>14.826999999999998</v>
      </c>
      <c r="G263" s="15">
        <v>15.173999999999999</v>
      </c>
      <c r="H263" s="15">
        <v>17.109000000000002</v>
      </c>
      <c r="I263" s="15">
        <v>17.401</v>
      </c>
      <c r="J263" s="15">
        <v>18.456</v>
      </c>
      <c r="K263" s="15">
        <v>19.774999999999999</v>
      </c>
      <c r="L263" s="15">
        <v>20.956</v>
      </c>
      <c r="M263" s="15">
        <v>21.788</v>
      </c>
      <c r="N263" s="15">
        <v>22.286000000000005</v>
      </c>
      <c r="O263" s="15"/>
      <c r="P263" s="15"/>
      <c r="Q263" s="15"/>
      <c r="S263" s="6"/>
      <c r="T263" s="6"/>
      <c r="U263" s="8" t="s">
        <v>101</v>
      </c>
      <c r="V263" s="15">
        <f t="shared" ref="V263:AH263" si="375">C263*C266</f>
        <v>4.5599999999999996</v>
      </c>
      <c r="W263" s="15">
        <f t="shared" si="375"/>
        <v>6.1323600000000003</v>
      </c>
      <c r="X263" s="15">
        <f t="shared" si="375"/>
        <v>6.3273599999999997</v>
      </c>
      <c r="Y263" s="15">
        <f t="shared" si="375"/>
        <v>7.4134999999999991</v>
      </c>
      <c r="Z263" s="15">
        <f t="shared" si="375"/>
        <v>7.5869999999999997</v>
      </c>
      <c r="AA263" s="15">
        <f t="shared" si="375"/>
        <v>8.5545000000000009</v>
      </c>
      <c r="AB263" s="15">
        <f t="shared" si="375"/>
        <v>8.7004999999999999</v>
      </c>
      <c r="AC263" s="15">
        <f t="shared" si="375"/>
        <v>9.2279999999999998</v>
      </c>
      <c r="AD263" s="15">
        <f t="shared" si="375"/>
        <v>10.282999999999999</v>
      </c>
      <c r="AE263" s="15">
        <f t="shared" si="375"/>
        <v>10.05888</v>
      </c>
      <c r="AF263" s="15">
        <f t="shared" si="375"/>
        <v>13.508559999999999</v>
      </c>
      <c r="AG263" s="15">
        <f t="shared" si="375"/>
        <v>8.4686800000000027</v>
      </c>
      <c r="AH263" s="15">
        <f t="shared" si="375"/>
        <v>0</v>
      </c>
      <c r="AI263" s="15">
        <f t="shared" ref="AI263" si="376">R263*R266</f>
        <v>0</v>
      </c>
      <c r="AJ263" s="23">
        <f>SUM(V263:AI263)</f>
        <v>100.82234000000001</v>
      </c>
      <c r="AK263" s="2">
        <v>100.82234000000001</v>
      </c>
    </row>
    <row r="264" spans="1:37" x14ac:dyDescent="0.3">
      <c r="A264" s="6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S264" s="6"/>
      <c r="T264" s="6"/>
      <c r="U264" s="24" t="s">
        <v>115</v>
      </c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19">
        <f>(AJ261-AJ262)/AJ261*100</f>
        <v>4.0743204023265855</v>
      </c>
      <c r="AK264" s="2">
        <v>4.0743204023265855</v>
      </c>
    </row>
    <row r="265" spans="1:37" x14ac:dyDescent="0.3">
      <c r="A265" s="6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S265" s="6"/>
      <c r="T265" s="6"/>
      <c r="U265" s="24" t="s">
        <v>103</v>
      </c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19">
        <f>AJ261-AJ263</f>
        <v>29.626899999999964</v>
      </c>
      <c r="AK265" s="2">
        <v>29.626899999999964</v>
      </c>
    </row>
    <row r="266" spans="1:37" ht="16.2" thickBot="1" x14ac:dyDescent="0.35">
      <c r="A266" s="6"/>
      <c r="B266" s="2" t="s">
        <v>32</v>
      </c>
      <c r="C266" s="15">
        <v>0.5</v>
      </c>
      <c r="D266" s="15">
        <v>0.52</v>
      </c>
      <c r="E266" s="15">
        <v>0.48</v>
      </c>
      <c r="F266" s="15">
        <v>0.5</v>
      </c>
      <c r="G266" s="15">
        <v>0.5</v>
      </c>
      <c r="H266" s="15">
        <v>0.5</v>
      </c>
      <c r="I266" s="15">
        <v>0.5</v>
      </c>
      <c r="J266" s="15">
        <v>0.5</v>
      </c>
      <c r="K266" s="15">
        <v>0.52</v>
      </c>
      <c r="L266" s="15">
        <v>0.48</v>
      </c>
      <c r="M266" s="15">
        <v>0.62</v>
      </c>
      <c r="N266" s="15">
        <v>0.38</v>
      </c>
      <c r="O266" s="15">
        <v>0.5</v>
      </c>
      <c r="P266" s="15"/>
      <c r="Q266" s="15"/>
      <c r="R266" s="16"/>
      <c r="S266" s="6"/>
      <c r="T266" s="6"/>
      <c r="U266" s="8" t="s">
        <v>97</v>
      </c>
      <c r="V266" s="221" t="s">
        <v>165</v>
      </c>
      <c r="W266" s="221"/>
      <c r="X266" s="221"/>
      <c r="Y266" s="221"/>
      <c r="Z266" s="221"/>
      <c r="AA266" s="221"/>
      <c r="AB266" s="221"/>
      <c r="AC266" s="221"/>
      <c r="AD266" s="221"/>
      <c r="AE266" s="221"/>
      <c r="AF266" s="221"/>
      <c r="AG266" s="221"/>
      <c r="AH266" s="221"/>
      <c r="AI266" s="222"/>
      <c r="AJ266" s="26"/>
    </row>
    <row r="267" spans="1:37" ht="15.75" customHeight="1" x14ac:dyDescent="0.3">
      <c r="A267" s="216" t="s">
        <v>166</v>
      </c>
      <c r="B267" s="13" t="s">
        <v>98</v>
      </c>
      <c r="C267" s="14">
        <v>0</v>
      </c>
      <c r="D267" s="14">
        <v>0</v>
      </c>
      <c r="E267" s="14">
        <v>0.30399999999999999</v>
      </c>
      <c r="F267" s="14">
        <v>0.30199999999999999</v>
      </c>
      <c r="G267" s="14">
        <v>1.304</v>
      </c>
      <c r="H267" s="14">
        <v>1.9179999999999999</v>
      </c>
      <c r="I267" s="14">
        <v>2.1539999999999999</v>
      </c>
      <c r="J267" s="14">
        <v>2.0870000000000002</v>
      </c>
      <c r="K267" s="14">
        <v>1.9390000000000001</v>
      </c>
      <c r="L267" s="14">
        <v>2.258</v>
      </c>
      <c r="M267" s="14">
        <v>0.33600000000000002</v>
      </c>
      <c r="N267" s="14">
        <v>0.79300000000000004</v>
      </c>
      <c r="O267" s="14"/>
      <c r="P267" s="15" t="s">
        <v>109</v>
      </c>
      <c r="Q267" s="16">
        <f t="shared" ref="Q267" si="377">COUNTIF(C267:N267, "&gt;0" )</f>
        <v>10</v>
      </c>
      <c r="S267" s="216" t="s">
        <v>166</v>
      </c>
      <c r="T267" s="216" t="s">
        <v>2</v>
      </c>
      <c r="U267" s="17" t="s">
        <v>98</v>
      </c>
      <c r="V267" s="18">
        <f t="shared" ref="V267:AH267" si="378">C267*C274</f>
        <v>0</v>
      </c>
      <c r="W267" s="18">
        <f t="shared" si="378"/>
        <v>0</v>
      </c>
      <c r="X267" s="18">
        <f t="shared" si="378"/>
        <v>0.17631999999999998</v>
      </c>
      <c r="Y267" s="18">
        <f t="shared" si="378"/>
        <v>0.13288</v>
      </c>
      <c r="Z267" s="18">
        <f t="shared" si="378"/>
        <v>0.62592000000000003</v>
      </c>
      <c r="AA267" s="18">
        <f t="shared" si="378"/>
        <v>0.95899999999999996</v>
      </c>
      <c r="AB267" s="18">
        <f t="shared" si="378"/>
        <v>1.077</v>
      </c>
      <c r="AC267" s="18">
        <f t="shared" si="378"/>
        <v>1.0435000000000001</v>
      </c>
      <c r="AD267" s="18">
        <f t="shared" si="378"/>
        <v>0.96950000000000003</v>
      </c>
      <c r="AE267" s="18">
        <f t="shared" si="378"/>
        <v>1.129</v>
      </c>
      <c r="AF267" s="18">
        <f t="shared" si="378"/>
        <v>0.2016</v>
      </c>
      <c r="AG267" s="18">
        <f t="shared" si="378"/>
        <v>0.41236000000000006</v>
      </c>
      <c r="AH267" s="18">
        <f t="shared" si="378"/>
        <v>0</v>
      </c>
      <c r="AI267" s="18">
        <f t="shared" ref="AI267" si="379">R267*R274</f>
        <v>0</v>
      </c>
      <c r="AJ267" s="19">
        <f>SUM(V267:AI267)</f>
        <v>6.7270800000000008</v>
      </c>
      <c r="AK267" s="2">
        <v>6.7270800000000008</v>
      </c>
    </row>
    <row r="268" spans="1:37" ht="15.75" customHeight="1" x14ac:dyDescent="0.3">
      <c r="A268" s="217"/>
      <c r="B268" s="2" t="s">
        <v>110</v>
      </c>
      <c r="C268" s="15"/>
      <c r="D268" s="15"/>
      <c r="E268" s="15" t="s">
        <v>111</v>
      </c>
      <c r="F268" s="15" t="s">
        <v>111</v>
      </c>
      <c r="G268" s="15" t="s">
        <v>111</v>
      </c>
      <c r="H268" s="15" t="s">
        <v>111</v>
      </c>
      <c r="I268" s="15" t="s">
        <v>111</v>
      </c>
      <c r="J268" s="15" t="s">
        <v>112</v>
      </c>
      <c r="K268" s="15" t="s">
        <v>111</v>
      </c>
      <c r="L268" s="15" t="s">
        <v>111</v>
      </c>
      <c r="M268" s="15" t="s">
        <v>111</v>
      </c>
      <c r="N268" s="15" t="s">
        <v>111</v>
      </c>
      <c r="O268" s="15"/>
      <c r="P268" s="15" t="s">
        <v>105</v>
      </c>
      <c r="Q268" s="15">
        <f t="shared" ref="Q268" si="380">COUNTIF(C268:N268,"Cortex")</f>
        <v>9</v>
      </c>
      <c r="S268" s="217"/>
      <c r="T268" s="217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23"/>
    </row>
    <row r="269" spans="1:37" ht="15.75" customHeight="1" x14ac:dyDescent="0.3">
      <c r="A269" s="217"/>
      <c r="B269" s="2" t="s">
        <v>99</v>
      </c>
      <c r="C269" s="15">
        <v>11.666</v>
      </c>
      <c r="D269" s="15">
        <v>13.625</v>
      </c>
      <c r="E269" s="15">
        <v>16.789000000000001</v>
      </c>
      <c r="F269" s="15">
        <v>20.411000000000001</v>
      </c>
      <c r="G269" s="15">
        <v>23.945</v>
      </c>
      <c r="H269" s="15">
        <v>24.966000000000001</v>
      </c>
      <c r="I269" s="15">
        <v>25.829000000000001</v>
      </c>
      <c r="J269" s="15">
        <v>25.852</v>
      </c>
      <c r="K269" s="15">
        <v>24.744</v>
      </c>
      <c r="L269" s="15">
        <v>25.768000000000001</v>
      </c>
      <c r="M269" s="15">
        <v>23.66</v>
      </c>
      <c r="N269" s="15">
        <v>22.871000000000002</v>
      </c>
      <c r="O269" s="15"/>
      <c r="P269" s="15" t="s">
        <v>106</v>
      </c>
      <c r="Q269" s="15">
        <f t="shared" ref="Q269" si="381">Q267-Q268</f>
        <v>1</v>
      </c>
      <c r="S269" s="217"/>
      <c r="T269" s="217"/>
      <c r="U269" s="8" t="s">
        <v>99</v>
      </c>
      <c r="V269" s="15">
        <f t="shared" ref="V269:AH269" si="382">C269*C274</f>
        <v>5.8330000000000002</v>
      </c>
      <c r="W269" s="15">
        <f t="shared" si="382"/>
        <v>5.9950000000000001</v>
      </c>
      <c r="X269" s="15">
        <f t="shared" si="382"/>
        <v>9.7376199999999997</v>
      </c>
      <c r="Y269" s="15">
        <f t="shared" si="382"/>
        <v>8.9808400000000006</v>
      </c>
      <c r="Z269" s="15">
        <f t="shared" si="382"/>
        <v>11.493599999999999</v>
      </c>
      <c r="AA269" s="15">
        <f t="shared" si="382"/>
        <v>12.483000000000001</v>
      </c>
      <c r="AB269" s="15">
        <f t="shared" si="382"/>
        <v>12.9145</v>
      </c>
      <c r="AC269" s="15">
        <f t="shared" si="382"/>
        <v>12.926</v>
      </c>
      <c r="AD269" s="15">
        <f t="shared" si="382"/>
        <v>12.372</v>
      </c>
      <c r="AE269" s="15">
        <f t="shared" si="382"/>
        <v>12.884</v>
      </c>
      <c r="AF269" s="15">
        <f t="shared" si="382"/>
        <v>14.196</v>
      </c>
      <c r="AG269" s="15">
        <f t="shared" si="382"/>
        <v>11.892920000000002</v>
      </c>
      <c r="AH269" s="15">
        <f t="shared" si="382"/>
        <v>0</v>
      </c>
      <c r="AI269" s="15">
        <f t="shared" ref="AI269" si="383">R269*R274</f>
        <v>0</v>
      </c>
      <c r="AJ269" s="23">
        <f>SUM(V269:AI269)</f>
        <v>131.70848000000001</v>
      </c>
      <c r="AK269" s="2">
        <v>131.70848000000001</v>
      </c>
    </row>
    <row r="270" spans="1:37" ht="15.75" customHeight="1" x14ac:dyDescent="0.3">
      <c r="A270" s="217"/>
      <c r="B270" s="2" t="s">
        <v>100</v>
      </c>
      <c r="C270" s="15">
        <v>12.545999999999999</v>
      </c>
      <c r="D270" s="15">
        <v>15.608000000000001</v>
      </c>
      <c r="E270" s="15">
        <v>18.007000000000001</v>
      </c>
      <c r="F270" s="15">
        <v>20.574000000000002</v>
      </c>
      <c r="G270" s="15">
        <v>23.732000000000003</v>
      </c>
      <c r="H270" s="15">
        <v>24.760999999999999</v>
      </c>
      <c r="I270" s="15">
        <v>25.437999999999999</v>
      </c>
      <c r="J270" s="15">
        <v>25.268999999999998</v>
      </c>
      <c r="K270" s="15">
        <v>25.234999999999999</v>
      </c>
      <c r="L270" s="15">
        <v>26.117000000000001</v>
      </c>
      <c r="M270" s="15">
        <v>24.395</v>
      </c>
      <c r="N270" s="15">
        <v>23.001000000000001</v>
      </c>
      <c r="O270" s="15"/>
      <c r="P270" s="15" t="s">
        <v>113</v>
      </c>
      <c r="Q270" s="16">
        <f t="shared" ref="Q270" si="384">COUNTIF(C267:O267, "&gt;=0" )</f>
        <v>12</v>
      </c>
      <c r="S270" s="217"/>
      <c r="T270" s="217"/>
      <c r="U270" s="8" t="s">
        <v>100</v>
      </c>
      <c r="V270" s="15">
        <f t="shared" ref="V270:AH270" si="385">C270*C274</f>
        <v>6.2729999999999997</v>
      </c>
      <c r="W270" s="15">
        <f t="shared" si="385"/>
        <v>6.8675199999999998</v>
      </c>
      <c r="X270" s="15">
        <f t="shared" si="385"/>
        <v>10.44406</v>
      </c>
      <c r="Y270" s="15">
        <f t="shared" si="385"/>
        <v>9.0525600000000015</v>
      </c>
      <c r="Z270" s="15">
        <f t="shared" si="385"/>
        <v>11.391360000000001</v>
      </c>
      <c r="AA270" s="15">
        <f t="shared" si="385"/>
        <v>12.3805</v>
      </c>
      <c r="AB270" s="15">
        <f t="shared" si="385"/>
        <v>12.718999999999999</v>
      </c>
      <c r="AC270" s="15">
        <f t="shared" si="385"/>
        <v>12.634499999999999</v>
      </c>
      <c r="AD270" s="15">
        <f t="shared" si="385"/>
        <v>12.6175</v>
      </c>
      <c r="AE270" s="15">
        <f t="shared" si="385"/>
        <v>13.0585</v>
      </c>
      <c r="AF270" s="15">
        <f t="shared" si="385"/>
        <v>14.636999999999999</v>
      </c>
      <c r="AG270" s="15">
        <f t="shared" si="385"/>
        <v>11.960520000000001</v>
      </c>
      <c r="AH270" s="15">
        <f t="shared" si="385"/>
        <v>0</v>
      </c>
      <c r="AI270" s="15">
        <f t="shared" ref="AI270" si="386">R270*R274</f>
        <v>0</v>
      </c>
      <c r="AJ270" s="23">
        <f>SUM(V270:AI270)</f>
        <v>134.03601999999998</v>
      </c>
      <c r="AK270" s="2">
        <v>134.03601999999998</v>
      </c>
    </row>
    <row r="271" spans="1:37" x14ac:dyDescent="0.3">
      <c r="A271" s="6"/>
      <c r="B271" s="2" t="s">
        <v>114</v>
      </c>
      <c r="C271" s="15">
        <v>12.545999999999999</v>
      </c>
      <c r="D271" s="15">
        <v>15.608000000000001</v>
      </c>
      <c r="E271" s="15">
        <v>17.703000000000003</v>
      </c>
      <c r="F271" s="15">
        <v>20.272000000000002</v>
      </c>
      <c r="G271" s="15">
        <v>22.428000000000004</v>
      </c>
      <c r="H271" s="15">
        <v>22.843</v>
      </c>
      <c r="I271" s="15">
        <v>23.283999999999999</v>
      </c>
      <c r="J271" s="15">
        <v>23.181999999999999</v>
      </c>
      <c r="K271" s="15">
        <v>23.295999999999999</v>
      </c>
      <c r="L271" s="15">
        <v>23.859000000000002</v>
      </c>
      <c r="M271" s="15">
        <v>24.059000000000001</v>
      </c>
      <c r="N271" s="15">
        <v>22.208000000000002</v>
      </c>
      <c r="O271" s="15"/>
      <c r="P271" s="15"/>
      <c r="Q271" s="15"/>
      <c r="S271" s="6"/>
      <c r="T271" s="6"/>
      <c r="U271" s="8" t="s">
        <v>101</v>
      </c>
      <c r="V271" s="15">
        <f t="shared" ref="V271:AH271" si="387">C271*C274</f>
        <v>6.2729999999999997</v>
      </c>
      <c r="W271" s="15">
        <f t="shared" si="387"/>
        <v>6.8675199999999998</v>
      </c>
      <c r="X271" s="15">
        <f t="shared" si="387"/>
        <v>10.267740000000002</v>
      </c>
      <c r="Y271" s="15">
        <f t="shared" si="387"/>
        <v>8.9196800000000014</v>
      </c>
      <c r="Z271" s="15">
        <f t="shared" si="387"/>
        <v>10.765440000000002</v>
      </c>
      <c r="AA271" s="15">
        <f t="shared" si="387"/>
        <v>11.4215</v>
      </c>
      <c r="AB271" s="15">
        <f t="shared" si="387"/>
        <v>11.641999999999999</v>
      </c>
      <c r="AC271" s="15">
        <f t="shared" si="387"/>
        <v>11.590999999999999</v>
      </c>
      <c r="AD271" s="15">
        <f t="shared" si="387"/>
        <v>11.648</v>
      </c>
      <c r="AE271" s="15">
        <f t="shared" si="387"/>
        <v>11.929500000000001</v>
      </c>
      <c r="AF271" s="15">
        <f t="shared" si="387"/>
        <v>14.4354</v>
      </c>
      <c r="AG271" s="15">
        <f t="shared" si="387"/>
        <v>11.548160000000001</v>
      </c>
      <c r="AH271" s="15">
        <f t="shared" si="387"/>
        <v>0</v>
      </c>
      <c r="AI271" s="15">
        <f t="shared" ref="AI271" si="388">R271*R274</f>
        <v>0</v>
      </c>
      <c r="AJ271" s="23">
        <f>SUM(V271:AI271)</f>
        <v>127.30893999999999</v>
      </c>
      <c r="AK271" s="2">
        <v>127.30893999999999</v>
      </c>
    </row>
    <row r="272" spans="1:37" x14ac:dyDescent="0.3">
      <c r="A272" s="6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S272" s="6"/>
      <c r="T272" s="6"/>
      <c r="U272" s="24" t="s">
        <v>115</v>
      </c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19">
        <f>(AJ269-AJ270)/AJ269*100</f>
        <v>-1.7671906926569729</v>
      </c>
      <c r="AK272" s="2">
        <v>-1.7671906926569729</v>
      </c>
    </row>
    <row r="273" spans="1:37" x14ac:dyDescent="0.3">
      <c r="A273" s="6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S273" s="6"/>
      <c r="T273" s="6"/>
      <c r="U273" s="24" t="s">
        <v>103</v>
      </c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19">
        <f>AJ269-AJ271</f>
        <v>4.399540000000016</v>
      </c>
      <c r="AK273" s="2">
        <v>4.399540000000016</v>
      </c>
    </row>
    <row r="274" spans="1:37" ht="16.2" thickBot="1" x14ac:dyDescent="0.35">
      <c r="A274" s="6"/>
      <c r="B274" s="2" t="s">
        <v>32</v>
      </c>
      <c r="C274" s="15">
        <v>0.5</v>
      </c>
      <c r="D274" s="15">
        <v>0.44</v>
      </c>
      <c r="E274" s="15">
        <v>0.57999999999999996</v>
      </c>
      <c r="F274" s="15">
        <v>0.44</v>
      </c>
      <c r="G274" s="15">
        <v>0.48</v>
      </c>
      <c r="H274" s="15">
        <v>0.5</v>
      </c>
      <c r="I274" s="15">
        <v>0.5</v>
      </c>
      <c r="J274" s="15">
        <v>0.5</v>
      </c>
      <c r="K274" s="15">
        <v>0.5</v>
      </c>
      <c r="L274" s="15">
        <v>0.5</v>
      </c>
      <c r="M274" s="15">
        <v>0.6</v>
      </c>
      <c r="N274" s="15">
        <v>0.52</v>
      </c>
      <c r="O274" s="15"/>
      <c r="P274" s="15"/>
      <c r="Q274" s="15"/>
      <c r="R274" s="16"/>
      <c r="S274" s="6"/>
      <c r="T274" s="6"/>
      <c r="U274" s="8" t="s">
        <v>97</v>
      </c>
      <c r="V274" s="219"/>
      <c r="W274" s="219"/>
      <c r="X274" s="219"/>
      <c r="Y274" s="219"/>
      <c r="Z274" s="219"/>
      <c r="AA274" s="219"/>
      <c r="AB274" s="219"/>
      <c r="AC274" s="219"/>
      <c r="AD274" s="219"/>
      <c r="AE274" s="219"/>
      <c r="AF274" s="219"/>
      <c r="AG274" s="219"/>
      <c r="AH274" s="219"/>
      <c r="AI274" s="220"/>
      <c r="AJ274" s="26"/>
    </row>
    <row r="275" spans="1:37" ht="15.75" customHeight="1" x14ac:dyDescent="0.3">
      <c r="A275" s="216" t="s">
        <v>167</v>
      </c>
      <c r="B275" s="13" t="s">
        <v>98</v>
      </c>
      <c r="C275" s="14">
        <v>0.05</v>
      </c>
      <c r="D275" s="14">
        <v>0.69500000000000006</v>
      </c>
      <c r="E275" s="14">
        <v>2.2879999999999998</v>
      </c>
      <c r="F275" s="14">
        <v>2.016</v>
      </c>
      <c r="G275" s="14">
        <v>2.8879999999999999</v>
      </c>
      <c r="H275" s="14">
        <v>3.0950000000000002</v>
      </c>
      <c r="I275" s="14">
        <v>2.964</v>
      </c>
      <c r="J275" s="14">
        <v>3.0289999999999999</v>
      </c>
      <c r="K275" s="14">
        <v>2.9710000000000001</v>
      </c>
      <c r="L275" s="14">
        <v>0.48899999999999999</v>
      </c>
      <c r="M275" s="14">
        <v>0.33300000000000002</v>
      </c>
      <c r="N275" s="14"/>
      <c r="O275" s="14"/>
      <c r="P275" s="15" t="s">
        <v>109</v>
      </c>
      <c r="Q275" s="16">
        <f t="shared" ref="Q275" si="389">COUNTIF(C275:N275, "&gt;0" )</f>
        <v>11</v>
      </c>
      <c r="S275" s="216" t="s">
        <v>167</v>
      </c>
      <c r="T275" s="216" t="s">
        <v>2</v>
      </c>
      <c r="U275" s="17" t="s">
        <v>98</v>
      </c>
      <c r="V275" s="18">
        <f t="shared" ref="V275:AH275" si="390">C275*C282</f>
        <v>2.5000000000000001E-2</v>
      </c>
      <c r="W275" s="18">
        <f t="shared" si="390"/>
        <v>0.37530000000000008</v>
      </c>
      <c r="X275" s="18">
        <f t="shared" si="390"/>
        <v>1.4185599999999998</v>
      </c>
      <c r="Y275" s="18">
        <f t="shared" si="390"/>
        <v>0.60480000000000012</v>
      </c>
      <c r="Z275" s="18">
        <f t="shared" si="390"/>
        <v>1.444</v>
      </c>
      <c r="AA275" s="18">
        <f t="shared" si="390"/>
        <v>1.7332000000000003</v>
      </c>
      <c r="AB275" s="18">
        <f t="shared" si="390"/>
        <v>1.42272</v>
      </c>
      <c r="AC275" s="18">
        <f t="shared" si="390"/>
        <v>1.3327599999999999</v>
      </c>
      <c r="AD275" s="18">
        <f t="shared" si="390"/>
        <v>1.4855</v>
      </c>
      <c r="AE275" s="18">
        <f t="shared" si="390"/>
        <v>0.33252000000000004</v>
      </c>
      <c r="AF275" s="18">
        <f t="shared" si="390"/>
        <v>9.9900000000000003E-2</v>
      </c>
      <c r="AG275" s="18">
        <f t="shared" si="390"/>
        <v>0</v>
      </c>
      <c r="AH275" s="18">
        <f t="shared" si="390"/>
        <v>0</v>
      </c>
      <c r="AI275" s="18">
        <f t="shared" ref="AI275" si="391">R275*R282</f>
        <v>0</v>
      </c>
      <c r="AJ275" s="19">
        <f>SUM(V275:AI275)</f>
        <v>10.27426</v>
      </c>
      <c r="AK275" s="2">
        <v>10.27426</v>
      </c>
    </row>
    <row r="276" spans="1:37" ht="15.75" customHeight="1" x14ac:dyDescent="0.3">
      <c r="A276" s="217"/>
      <c r="B276" s="2" t="s">
        <v>110</v>
      </c>
      <c r="C276" s="15"/>
      <c r="D276" s="15" t="s">
        <v>111</v>
      </c>
      <c r="E276" s="15" t="s">
        <v>111</v>
      </c>
      <c r="F276" s="15" t="s">
        <v>112</v>
      </c>
      <c r="G276" s="15" t="s">
        <v>112</v>
      </c>
      <c r="H276" s="15" t="s">
        <v>112</v>
      </c>
      <c r="I276" s="15" t="s">
        <v>111</v>
      </c>
      <c r="J276" s="15" t="s">
        <v>111</v>
      </c>
      <c r="K276" s="15" t="s">
        <v>111</v>
      </c>
      <c r="L276" s="15" t="s">
        <v>111</v>
      </c>
      <c r="M276" s="15" t="s">
        <v>111</v>
      </c>
      <c r="N276" s="15"/>
      <c r="O276" s="15"/>
      <c r="P276" s="15" t="s">
        <v>105</v>
      </c>
      <c r="Q276" s="15">
        <f t="shared" ref="Q276" si="392">COUNTIF(C276:N276,"Cortex")</f>
        <v>7</v>
      </c>
      <c r="S276" s="217"/>
      <c r="T276" s="217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23"/>
    </row>
    <row r="277" spans="1:37" ht="15.75" customHeight="1" x14ac:dyDescent="0.3">
      <c r="A277" s="217"/>
      <c r="B277" s="2" t="s">
        <v>99</v>
      </c>
      <c r="C277" s="15">
        <v>14.257999999999999</v>
      </c>
      <c r="D277" s="15">
        <v>16.831</v>
      </c>
      <c r="E277" s="15">
        <v>19.591000000000001</v>
      </c>
      <c r="F277" s="15">
        <v>22.506</v>
      </c>
      <c r="G277" s="15">
        <v>23.263999999999999</v>
      </c>
      <c r="H277" s="15">
        <v>24.577999999999999</v>
      </c>
      <c r="I277" s="15">
        <v>26.411999999999999</v>
      </c>
      <c r="J277" s="15">
        <v>27.437000000000001</v>
      </c>
      <c r="K277" s="15">
        <v>27.225000000000001</v>
      </c>
      <c r="L277" s="15">
        <v>28.488000000000003</v>
      </c>
      <c r="M277" s="15">
        <v>24.893999999999998</v>
      </c>
      <c r="N277" s="15"/>
      <c r="O277" s="15"/>
      <c r="P277" s="15" t="s">
        <v>106</v>
      </c>
      <c r="Q277" s="15">
        <f t="shared" ref="Q277" si="393">Q275-Q276</f>
        <v>4</v>
      </c>
      <c r="S277" s="217"/>
      <c r="T277" s="217"/>
      <c r="U277" s="8" t="s">
        <v>99</v>
      </c>
      <c r="V277" s="15">
        <f t="shared" ref="V277:AH277" si="394">C277*C282</f>
        <v>7.1289999999999996</v>
      </c>
      <c r="W277" s="15">
        <f t="shared" si="394"/>
        <v>9.0887399999999996</v>
      </c>
      <c r="X277" s="15">
        <f t="shared" si="394"/>
        <v>12.146420000000001</v>
      </c>
      <c r="Y277" s="15">
        <f t="shared" si="394"/>
        <v>6.7518000000000011</v>
      </c>
      <c r="Z277" s="15">
        <f t="shared" si="394"/>
        <v>11.632</v>
      </c>
      <c r="AA277" s="15">
        <f t="shared" si="394"/>
        <v>13.763680000000001</v>
      </c>
      <c r="AB277" s="15">
        <f t="shared" si="394"/>
        <v>12.677759999999999</v>
      </c>
      <c r="AC277" s="15">
        <f t="shared" si="394"/>
        <v>12.072280000000001</v>
      </c>
      <c r="AD277" s="15">
        <f t="shared" si="394"/>
        <v>13.612500000000001</v>
      </c>
      <c r="AE277" s="15">
        <f t="shared" si="394"/>
        <v>19.371840000000002</v>
      </c>
      <c r="AF277" s="15">
        <f t="shared" si="394"/>
        <v>7.4681999999999995</v>
      </c>
      <c r="AG277" s="15">
        <f t="shared" si="394"/>
        <v>0</v>
      </c>
      <c r="AH277" s="15">
        <f t="shared" si="394"/>
        <v>0</v>
      </c>
      <c r="AI277" s="15">
        <f t="shared" ref="AI277" si="395">R277*R282</f>
        <v>0</v>
      </c>
      <c r="AJ277" s="23">
        <f>SUM(V277:AI277)</f>
        <v>125.71422000000001</v>
      </c>
      <c r="AK277" s="2">
        <v>125.71422000000001</v>
      </c>
    </row>
    <row r="278" spans="1:37" ht="15.75" customHeight="1" x14ac:dyDescent="0.3">
      <c r="A278" s="217"/>
      <c r="B278" s="2" t="s">
        <v>100</v>
      </c>
      <c r="C278" s="15">
        <v>15.34</v>
      </c>
      <c r="D278" s="15">
        <v>17.059000000000001</v>
      </c>
      <c r="E278" s="15">
        <v>19.474</v>
      </c>
      <c r="F278" s="15">
        <v>21.821000000000002</v>
      </c>
      <c r="G278" s="15">
        <v>22.152999999999999</v>
      </c>
      <c r="H278" s="15">
        <v>23.94</v>
      </c>
      <c r="I278" s="15">
        <v>25.085999999999999</v>
      </c>
      <c r="J278" s="15">
        <v>25.562000000000001</v>
      </c>
      <c r="K278" s="15">
        <v>25.715</v>
      </c>
      <c r="L278" s="15">
        <v>25.734000000000002</v>
      </c>
      <c r="M278" s="15">
        <v>25.068000000000001</v>
      </c>
      <c r="N278" s="15"/>
      <c r="O278" s="15"/>
      <c r="P278" s="15" t="s">
        <v>113</v>
      </c>
      <c r="Q278" s="16">
        <f t="shared" ref="Q278" si="396">COUNTIF(C275:O275, "&gt;=0" )</f>
        <v>11</v>
      </c>
      <c r="S278" s="217"/>
      <c r="T278" s="217"/>
      <c r="U278" s="8" t="s">
        <v>100</v>
      </c>
      <c r="V278" s="15">
        <f t="shared" ref="V278:AH278" si="397">C278*C282</f>
        <v>7.67</v>
      </c>
      <c r="W278" s="15">
        <f t="shared" si="397"/>
        <v>9.2118600000000015</v>
      </c>
      <c r="X278" s="15">
        <f t="shared" si="397"/>
        <v>12.073880000000001</v>
      </c>
      <c r="Y278" s="15">
        <f t="shared" si="397"/>
        <v>6.5463000000000013</v>
      </c>
      <c r="Z278" s="15">
        <f t="shared" si="397"/>
        <v>11.076499999999999</v>
      </c>
      <c r="AA278" s="15">
        <f t="shared" si="397"/>
        <v>13.406400000000001</v>
      </c>
      <c r="AB278" s="15">
        <f t="shared" si="397"/>
        <v>12.041279999999999</v>
      </c>
      <c r="AC278" s="15">
        <f t="shared" si="397"/>
        <v>11.24728</v>
      </c>
      <c r="AD278" s="15">
        <f t="shared" si="397"/>
        <v>12.8575</v>
      </c>
      <c r="AE278" s="15">
        <f t="shared" si="397"/>
        <v>17.499120000000001</v>
      </c>
      <c r="AF278" s="15">
        <f t="shared" si="397"/>
        <v>7.5204000000000004</v>
      </c>
      <c r="AG278" s="15">
        <f t="shared" si="397"/>
        <v>0</v>
      </c>
      <c r="AH278" s="15">
        <f t="shared" si="397"/>
        <v>0</v>
      </c>
      <c r="AI278" s="15">
        <f t="shared" ref="AI278" si="398">R278*R282</f>
        <v>0</v>
      </c>
      <c r="AJ278" s="23">
        <f>SUM(V278:AI278)</f>
        <v>121.15052000000001</v>
      </c>
      <c r="AK278" s="2">
        <v>121.15052000000001</v>
      </c>
    </row>
    <row r="279" spans="1:37" x14ac:dyDescent="0.3">
      <c r="A279" s="6"/>
      <c r="B279" s="2" t="s">
        <v>114</v>
      </c>
      <c r="C279" s="15">
        <v>15.29</v>
      </c>
      <c r="D279" s="15">
        <v>16.364000000000001</v>
      </c>
      <c r="E279" s="15">
        <v>17.186</v>
      </c>
      <c r="F279" s="15">
        <v>19.805</v>
      </c>
      <c r="G279" s="15">
        <v>19.265000000000001</v>
      </c>
      <c r="H279" s="15">
        <v>20.845000000000002</v>
      </c>
      <c r="I279" s="15">
        <v>22.122</v>
      </c>
      <c r="J279" s="15">
        <v>22.533000000000001</v>
      </c>
      <c r="K279" s="15">
        <v>22.744</v>
      </c>
      <c r="L279" s="15">
        <v>25.245000000000001</v>
      </c>
      <c r="M279" s="15">
        <v>24.735000000000003</v>
      </c>
      <c r="N279" s="15"/>
      <c r="O279" s="15"/>
      <c r="P279" s="15"/>
      <c r="Q279" s="15"/>
      <c r="S279" s="6"/>
      <c r="T279" s="6"/>
      <c r="U279" s="8" t="s">
        <v>101</v>
      </c>
      <c r="V279" s="15">
        <f t="shared" ref="V279:AH279" si="399">C279*C282</f>
        <v>7.6449999999999996</v>
      </c>
      <c r="W279" s="15">
        <f t="shared" si="399"/>
        <v>8.8365600000000004</v>
      </c>
      <c r="X279" s="15">
        <f t="shared" si="399"/>
        <v>10.65532</v>
      </c>
      <c r="Y279" s="15">
        <f t="shared" si="399"/>
        <v>5.9415000000000004</v>
      </c>
      <c r="Z279" s="15">
        <f t="shared" si="399"/>
        <v>9.6325000000000003</v>
      </c>
      <c r="AA279" s="15">
        <f t="shared" si="399"/>
        <v>11.673200000000003</v>
      </c>
      <c r="AB279" s="15">
        <f t="shared" si="399"/>
        <v>10.618559999999999</v>
      </c>
      <c r="AC279" s="15">
        <f t="shared" si="399"/>
        <v>9.9145200000000013</v>
      </c>
      <c r="AD279" s="15">
        <f t="shared" si="399"/>
        <v>11.372</v>
      </c>
      <c r="AE279" s="15">
        <f t="shared" si="399"/>
        <v>17.166600000000003</v>
      </c>
      <c r="AF279" s="15">
        <f t="shared" si="399"/>
        <v>7.4205000000000005</v>
      </c>
      <c r="AG279" s="15">
        <f t="shared" si="399"/>
        <v>0</v>
      </c>
      <c r="AH279" s="15">
        <f t="shared" si="399"/>
        <v>0</v>
      </c>
      <c r="AI279" s="15">
        <f t="shared" ref="AI279" si="400">R279*R282</f>
        <v>0</v>
      </c>
      <c r="AJ279" s="23">
        <f>SUM(V279:AI279)</f>
        <v>110.87626</v>
      </c>
      <c r="AK279" s="2">
        <v>110.87626</v>
      </c>
    </row>
    <row r="280" spans="1:37" x14ac:dyDescent="0.3">
      <c r="A280" s="6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S280" s="6"/>
      <c r="T280" s="6"/>
      <c r="U280" s="24" t="s">
        <v>115</v>
      </c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19">
        <f>(AJ277-AJ278)/AJ277*100</f>
        <v>3.6302178067047599</v>
      </c>
      <c r="AK280" s="2">
        <v>3.6302178067047599</v>
      </c>
    </row>
    <row r="281" spans="1:37" x14ac:dyDescent="0.3">
      <c r="A281" s="6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S281" s="6"/>
      <c r="T281" s="6"/>
      <c r="U281" s="24" t="s">
        <v>103</v>
      </c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19">
        <f>AJ277-AJ279</f>
        <v>14.83796000000001</v>
      </c>
      <c r="AK281" s="2">
        <v>14.83796000000001</v>
      </c>
    </row>
    <row r="282" spans="1:37" ht="16.2" thickBot="1" x14ac:dyDescent="0.35">
      <c r="A282" s="6"/>
      <c r="B282" s="2" t="s">
        <v>32</v>
      </c>
      <c r="C282" s="15">
        <v>0.5</v>
      </c>
      <c r="D282" s="15">
        <v>0.54</v>
      </c>
      <c r="E282" s="15">
        <v>0.62</v>
      </c>
      <c r="F282" s="15">
        <v>0.30000000000000004</v>
      </c>
      <c r="G282" s="15">
        <v>0.5</v>
      </c>
      <c r="H282" s="15">
        <v>0.56000000000000005</v>
      </c>
      <c r="I282" s="15">
        <v>0.48</v>
      </c>
      <c r="J282" s="15">
        <v>0.44</v>
      </c>
      <c r="K282" s="15">
        <v>0.5</v>
      </c>
      <c r="L282" s="15">
        <v>0.68</v>
      </c>
      <c r="M282" s="15">
        <v>0.3</v>
      </c>
      <c r="N282" s="15"/>
      <c r="O282" s="15"/>
      <c r="P282" s="15"/>
      <c r="Q282" s="15"/>
      <c r="R282" s="16"/>
      <c r="S282" s="6"/>
      <c r="T282" s="6"/>
      <c r="U282" s="8" t="s">
        <v>97</v>
      </c>
      <c r="V282" s="219"/>
      <c r="W282" s="219"/>
      <c r="X282" s="219"/>
      <c r="Y282" s="219"/>
      <c r="Z282" s="219"/>
      <c r="AA282" s="219"/>
      <c r="AB282" s="219"/>
      <c r="AC282" s="219"/>
      <c r="AD282" s="219"/>
      <c r="AE282" s="219"/>
      <c r="AF282" s="219"/>
      <c r="AG282" s="219"/>
      <c r="AH282" s="219"/>
      <c r="AI282" s="220"/>
      <c r="AJ282" s="26"/>
    </row>
    <row r="283" spans="1:37" ht="15.75" customHeight="1" x14ac:dyDescent="0.3">
      <c r="A283" s="216" t="s">
        <v>168</v>
      </c>
      <c r="B283" s="13" t="s">
        <v>98</v>
      </c>
      <c r="C283" s="14">
        <v>0</v>
      </c>
      <c r="D283" s="14">
        <v>0</v>
      </c>
      <c r="E283" s="14">
        <v>0</v>
      </c>
      <c r="F283" s="14">
        <v>0.23200000000000001</v>
      </c>
      <c r="G283" s="14">
        <v>0.71</v>
      </c>
      <c r="H283" s="14">
        <v>1.0229999999999999</v>
      </c>
      <c r="I283" s="14">
        <v>1.4890000000000001</v>
      </c>
      <c r="J283" s="14">
        <v>1.8149999999999999</v>
      </c>
      <c r="K283" s="14">
        <v>0.55300000000000005</v>
      </c>
      <c r="L283" s="14">
        <v>0.30300000000000005</v>
      </c>
      <c r="M283" s="14">
        <v>0.373</v>
      </c>
      <c r="N283" s="14"/>
      <c r="O283" s="14"/>
      <c r="P283" s="15" t="s">
        <v>109</v>
      </c>
      <c r="Q283" s="16">
        <f t="shared" ref="Q283" si="401">COUNTIF(C283:N283, "&gt;0" )</f>
        <v>8</v>
      </c>
      <c r="S283" s="216" t="s">
        <v>168</v>
      </c>
      <c r="T283" s="216" t="s">
        <v>2</v>
      </c>
      <c r="U283" s="17" t="s">
        <v>98</v>
      </c>
      <c r="V283" s="18">
        <f t="shared" ref="V283:AH283" si="402">C283*C290</f>
        <v>0</v>
      </c>
      <c r="W283" s="18">
        <f t="shared" si="402"/>
        <v>0</v>
      </c>
      <c r="X283" s="18">
        <f t="shared" si="402"/>
        <v>0</v>
      </c>
      <c r="Y283" s="18">
        <f t="shared" si="402"/>
        <v>0.11600000000000001</v>
      </c>
      <c r="Z283" s="18">
        <f t="shared" si="402"/>
        <v>0.35499999999999998</v>
      </c>
      <c r="AA283" s="18">
        <f t="shared" si="402"/>
        <v>0.51149999999999995</v>
      </c>
      <c r="AB283" s="18">
        <f t="shared" si="402"/>
        <v>0.74450000000000005</v>
      </c>
      <c r="AC283" s="18">
        <f t="shared" si="402"/>
        <v>0.90749999999999997</v>
      </c>
      <c r="AD283" s="18">
        <f t="shared" si="402"/>
        <v>0.28756000000000004</v>
      </c>
      <c r="AE283" s="18">
        <f t="shared" si="402"/>
        <v>0.15756000000000003</v>
      </c>
      <c r="AF283" s="18">
        <f t="shared" si="402"/>
        <v>0.17158000000000001</v>
      </c>
      <c r="AG283" s="18">
        <f t="shared" si="402"/>
        <v>0</v>
      </c>
      <c r="AH283" s="18">
        <f t="shared" si="402"/>
        <v>0</v>
      </c>
      <c r="AI283" s="18">
        <f t="shared" ref="AI283" si="403">R283*R290</f>
        <v>0</v>
      </c>
      <c r="AJ283" s="19">
        <f>SUM(V283:AI283)</f>
        <v>3.2512000000000003</v>
      </c>
      <c r="AK283" s="2">
        <v>3.2512000000000003</v>
      </c>
    </row>
    <row r="284" spans="1:37" ht="15.75" customHeight="1" x14ac:dyDescent="0.3">
      <c r="A284" s="217"/>
      <c r="B284" s="2" t="s">
        <v>110</v>
      </c>
      <c r="C284" s="15"/>
      <c r="D284" s="15"/>
      <c r="E284" s="15"/>
      <c r="F284" s="15" t="s">
        <v>111</v>
      </c>
      <c r="G284" s="15" t="s">
        <v>111</v>
      </c>
      <c r="H284" s="15" t="s">
        <v>111</v>
      </c>
      <c r="I284" s="15" t="s">
        <v>111</v>
      </c>
      <c r="J284" s="15" t="s">
        <v>112</v>
      </c>
      <c r="K284" s="15" t="s">
        <v>112</v>
      </c>
      <c r="L284" s="15" t="s">
        <v>111</v>
      </c>
      <c r="M284" s="15" t="s">
        <v>111</v>
      </c>
      <c r="N284" s="15"/>
      <c r="O284" s="15"/>
      <c r="P284" s="15" t="s">
        <v>105</v>
      </c>
      <c r="Q284" s="15">
        <f t="shared" ref="Q284" si="404">COUNTIF(C284:N284,"Cortex")</f>
        <v>6</v>
      </c>
      <c r="S284" s="217"/>
      <c r="T284" s="217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23"/>
    </row>
    <row r="285" spans="1:37" ht="15.75" customHeight="1" x14ac:dyDescent="0.3">
      <c r="A285" s="217"/>
      <c r="B285" s="2" t="s">
        <v>99</v>
      </c>
      <c r="C285" s="15">
        <v>9.3260000000000005</v>
      </c>
      <c r="D285" s="15">
        <v>12.57</v>
      </c>
      <c r="E285" s="15">
        <v>15.599</v>
      </c>
      <c r="F285" s="15">
        <v>18.315000000000001</v>
      </c>
      <c r="G285" s="15">
        <v>21.007999999999999</v>
      </c>
      <c r="H285" s="15">
        <v>22.832000000000001</v>
      </c>
      <c r="I285" s="15">
        <v>23.675999999999998</v>
      </c>
      <c r="J285" s="15">
        <v>24.041</v>
      </c>
      <c r="K285" s="15">
        <v>24.010999999999999</v>
      </c>
      <c r="L285" s="15">
        <v>25.074000000000002</v>
      </c>
      <c r="M285" s="15">
        <v>24.446999999999999</v>
      </c>
      <c r="N285" s="15"/>
      <c r="O285" s="15"/>
      <c r="P285" s="15" t="s">
        <v>106</v>
      </c>
      <c r="Q285" s="15">
        <f t="shared" ref="Q285" si="405">Q283-Q284</f>
        <v>2</v>
      </c>
      <c r="S285" s="217"/>
      <c r="T285" s="217"/>
      <c r="U285" s="8" t="s">
        <v>99</v>
      </c>
      <c r="V285" s="15">
        <f t="shared" ref="V285:AH285" si="406">C285*C290</f>
        <v>4.6630000000000003</v>
      </c>
      <c r="W285" s="15">
        <f t="shared" si="406"/>
        <v>6.2850000000000001</v>
      </c>
      <c r="X285" s="15">
        <f t="shared" si="406"/>
        <v>7.7995000000000001</v>
      </c>
      <c r="Y285" s="15">
        <f t="shared" si="406"/>
        <v>9.1575000000000006</v>
      </c>
      <c r="Z285" s="15">
        <f t="shared" si="406"/>
        <v>10.504</v>
      </c>
      <c r="AA285" s="15">
        <f t="shared" si="406"/>
        <v>11.416</v>
      </c>
      <c r="AB285" s="15">
        <f t="shared" si="406"/>
        <v>11.837999999999999</v>
      </c>
      <c r="AC285" s="15">
        <f t="shared" si="406"/>
        <v>12.0205</v>
      </c>
      <c r="AD285" s="15">
        <f t="shared" si="406"/>
        <v>12.485720000000001</v>
      </c>
      <c r="AE285" s="15">
        <f t="shared" si="406"/>
        <v>13.038480000000002</v>
      </c>
      <c r="AF285" s="15">
        <f t="shared" si="406"/>
        <v>11.245620000000001</v>
      </c>
      <c r="AG285" s="15">
        <f t="shared" si="406"/>
        <v>0</v>
      </c>
      <c r="AH285" s="15">
        <f t="shared" si="406"/>
        <v>0</v>
      </c>
      <c r="AI285" s="15">
        <f t="shared" ref="AI285" si="407">R285*R290</f>
        <v>0</v>
      </c>
      <c r="AJ285" s="23">
        <f>SUM(V285:AI285)</f>
        <v>110.45332000000002</v>
      </c>
      <c r="AK285" s="2">
        <v>110.45332000000002</v>
      </c>
    </row>
    <row r="286" spans="1:37" ht="15.75" customHeight="1" x14ac:dyDescent="0.3">
      <c r="A286" s="217"/>
      <c r="B286" s="2" t="s">
        <v>100</v>
      </c>
      <c r="C286" s="15">
        <v>9.1370000000000005</v>
      </c>
      <c r="D286" s="15">
        <v>11.491</v>
      </c>
      <c r="E286" s="15">
        <v>14.319000000000001</v>
      </c>
      <c r="F286" s="15">
        <v>16.692</v>
      </c>
      <c r="G286" s="15">
        <v>18.440999999999999</v>
      </c>
      <c r="H286" s="15">
        <v>19.616</v>
      </c>
      <c r="I286" s="15">
        <v>21.869</v>
      </c>
      <c r="J286" s="15">
        <v>22.585000000000001</v>
      </c>
      <c r="K286" s="15">
        <v>22.786999999999999</v>
      </c>
      <c r="L286" s="15">
        <v>24.434000000000001</v>
      </c>
      <c r="M286" s="15">
        <v>23.936</v>
      </c>
      <c r="N286" s="15"/>
      <c r="O286" s="15"/>
      <c r="P286" s="15" t="s">
        <v>113</v>
      </c>
      <c r="Q286" s="16">
        <f t="shared" ref="Q286" si="408">COUNTIF(C283:O283, "&gt;=0" )</f>
        <v>11</v>
      </c>
      <c r="S286" s="217"/>
      <c r="T286" s="217"/>
      <c r="U286" s="8" t="s">
        <v>100</v>
      </c>
      <c r="V286" s="15">
        <f t="shared" ref="V286:AH286" si="409">C286*C290</f>
        <v>4.5685000000000002</v>
      </c>
      <c r="W286" s="15">
        <f t="shared" si="409"/>
        <v>5.7454999999999998</v>
      </c>
      <c r="X286" s="15">
        <f t="shared" si="409"/>
        <v>7.1595000000000004</v>
      </c>
      <c r="Y286" s="15">
        <f t="shared" si="409"/>
        <v>8.3460000000000001</v>
      </c>
      <c r="Z286" s="15">
        <f t="shared" si="409"/>
        <v>9.2204999999999995</v>
      </c>
      <c r="AA286" s="15">
        <f t="shared" si="409"/>
        <v>9.8079999999999998</v>
      </c>
      <c r="AB286" s="15">
        <f t="shared" si="409"/>
        <v>10.9345</v>
      </c>
      <c r="AC286" s="15">
        <f t="shared" si="409"/>
        <v>11.2925</v>
      </c>
      <c r="AD286" s="15">
        <f t="shared" si="409"/>
        <v>11.84924</v>
      </c>
      <c r="AE286" s="15">
        <f t="shared" si="409"/>
        <v>12.705680000000001</v>
      </c>
      <c r="AF286" s="15">
        <f t="shared" si="409"/>
        <v>11.01056</v>
      </c>
      <c r="AG286" s="15">
        <f t="shared" si="409"/>
        <v>0</v>
      </c>
      <c r="AH286" s="15">
        <f t="shared" si="409"/>
        <v>0</v>
      </c>
      <c r="AI286" s="15">
        <f t="shared" ref="AI286" si="410">R286*R290</f>
        <v>0</v>
      </c>
      <c r="AJ286" s="23">
        <f>SUM(V286:AI286)</f>
        <v>102.64048</v>
      </c>
      <c r="AK286" s="2">
        <v>102.64048</v>
      </c>
    </row>
    <row r="287" spans="1:37" x14ac:dyDescent="0.3">
      <c r="A287" s="6"/>
      <c r="B287" s="2" t="s">
        <v>114</v>
      </c>
      <c r="C287" s="15">
        <v>9.1370000000000005</v>
      </c>
      <c r="D287" s="15">
        <v>11.491</v>
      </c>
      <c r="E287" s="15">
        <v>14.319000000000001</v>
      </c>
      <c r="F287" s="15">
        <v>16.46</v>
      </c>
      <c r="G287" s="15">
        <v>17.730999999999998</v>
      </c>
      <c r="H287" s="15">
        <v>18.593</v>
      </c>
      <c r="I287" s="15">
        <v>20.38</v>
      </c>
      <c r="J287" s="15">
        <v>20.77</v>
      </c>
      <c r="K287" s="15">
        <v>22.233999999999998</v>
      </c>
      <c r="L287" s="15">
        <v>24.131</v>
      </c>
      <c r="M287" s="15">
        <v>23.562999999999999</v>
      </c>
      <c r="N287" s="15"/>
      <c r="O287" s="15"/>
      <c r="P287" s="15"/>
      <c r="Q287" s="15"/>
      <c r="S287" s="6"/>
      <c r="T287" s="6"/>
      <c r="U287" s="8" t="s">
        <v>101</v>
      </c>
      <c r="V287" s="15">
        <f t="shared" ref="V287:AH287" si="411">C287*C290</f>
        <v>4.5685000000000002</v>
      </c>
      <c r="W287" s="15">
        <f t="shared" si="411"/>
        <v>5.7454999999999998</v>
      </c>
      <c r="X287" s="15">
        <f t="shared" si="411"/>
        <v>7.1595000000000004</v>
      </c>
      <c r="Y287" s="15">
        <f t="shared" si="411"/>
        <v>8.23</v>
      </c>
      <c r="Z287" s="15">
        <f t="shared" si="411"/>
        <v>8.865499999999999</v>
      </c>
      <c r="AA287" s="15">
        <f t="shared" si="411"/>
        <v>9.2965</v>
      </c>
      <c r="AB287" s="15">
        <f t="shared" si="411"/>
        <v>10.19</v>
      </c>
      <c r="AC287" s="15">
        <f t="shared" si="411"/>
        <v>10.385</v>
      </c>
      <c r="AD287" s="15">
        <f t="shared" si="411"/>
        <v>11.561679999999999</v>
      </c>
      <c r="AE287" s="15">
        <f t="shared" si="411"/>
        <v>12.548120000000001</v>
      </c>
      <c r="AF287" s="15">
        <f t="shared" si="411"/>
        <v>10.838979999999999</v>
      </c>
      <c r="AG287" s="15">
        <f t="shared" si="411"/>
        <v>0</v>
      </c>
      <c r="AH287" s="15">
        <f t="shared" si="411"/>
        <v>0</v>
      </c>
      <c r="AI287" s="15">
        <f t="shared" ref="AI287" si="412">R287*R290</f>
        <v>0</v>
      </c>
      <c r="AJ287" s="23">
        <f>SUM(V287:AI287)</f>
        <v>99.389279999999985</v>
      </c>
      <c r="AK287" s="2">
        <v>99.389279999999985</v>
      </c>
    </row>
    <row r="288" spans="1:37" x14ac:dyDescent="0.3">
      <c r="A288" s="6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S288" s="6"/>
      <c r="T288" s="6"/>
      <c r="U288" s="24" t="s">
        <v>115</v>
      </c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19">
        <f>(AJ285-AJ286)/AJ285*100</f>
        <v>7.0734315636687253</v>
      </c>
      <c r="AK288" s="2">
        <v>7.0734315636687253</v>
      </c>
    </row>
    <row r="289" spans="1:37" x14ac:dyDescent="0.3">
      <c r="A289" s="6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S289" s="6"/>
      <c r="T289" s="6"/>
      <c r="U289" s="24" t="s">
        <v>103</v>
      </c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19">
        <f>AJ285-AJ287</f>
        <v>11.064040000000034</v>
      </c>
      <c r="AK289" s="2">
        <v>11.064040000000034</v>
      </c>
    </row>
    <row r="290" spans="1:37" ht="16.2" thickBot="1" x14ac:dyDescent="0.35">
      <c r="A290" s="6"/>
      <c r="B290" s="2" t="s">
        <v>32</v>
      </c>
      <c r="C290" s="15">
        <v>0.5</v>
      </c>
      <c r="D290" s="15">
        <v>0.5</v>
      </c>
      <c r="E290" s="15">
        <v>0.5</v>
      </c>
      <c r="F290" s="15">
        <v>0.5</v>
      </c>
      <c r="G290" s="15">
        <v>0.5</v>
      </c>
      <c r="H290" s="15">
        <v>0.5</v>
      </c>
      <c r="I290" s="15">
        <v>0.5</v>
      </c>
      <c r="J290" s="15">
        <v>0.5</v>
      </c>
      <c r="K290" s="15">
        <v>0.52</v>
      </c>
      <c r="L290" s="15">
        <v>0.52</v>
      </c>
      <c r="M290" s="15">
        <v>0.46</v>
      </c>
      <c r="N290" s="15"/>
      <c r="O290" s="15"/>
      <c r="P290" s="15"/>
      <c r="Q290" s="15"/>
      <c r="R290" s="16"/>
      <c r="S290" s="6"/>
      <c r="T290" s="6"/>
      <c r="U290" s="8" t="s">
        <v>97</v>
      </c>
      <c r="V290" s="219"/>
      <c r="W290" s="219"/>
      <c r="X290" s="219"/>
      <c r="Y290" s="219"/>
      <c r="Z290" s="219"/>
      <c r="AA290" s="219"/>
      <c r="AB290" s="219"/>
      <c r="AC290" s="219"/>
      <c r="AD290" s="219"/>
      <c r="AE290" s="219"/>
      <c r="AF290" s="219"/>
      <c r="AG290" s="219"/>
      <c r="AH290" s="219"/>
      <c r="AI290" s="220"/>
      <c r="AJ290" s="26"/>
    </row>
    <row r="291" spans="1:37" ht="15.75" customHeight="1" x14ac:dyDescent="0.3">
      <c r="A291" s="216" t="s">
        <v>169</v>
      </c>
      <c r="B291" s="13" t="s">
        <v>98</v>
      </c>
      <c r="C291" s="14">
        <v>0</v>
      </c>
      <c r="D291" s="14">
        <v>0.58799999999999997</v>
      </c>
      <c r="E291" s="14">
        <v>3.47</v>
      </c>
      <c r="F291" s="14">
        <v>3.35</v>
      </c>
      <c r="G291" s="14">
        <v>4.1040000000000001</v>
      </c>
      <c r="H291" s="14">
        <v>4.6260000000000003</v>
      </c>
      <c r="I291" s="14">
        <v>4.4400000000000004</v>
      </c>
      <c r="J291" s="14">
        <v>3.5510000000000002</v>
      </c>
      <c r="K291" s="14">
        <v>3.2320000000000002</v>
      </c>
      <c r="L291" s="14">
        <v>2.218</v>
      </c>
      <c r="M291" s="14">
        <v>0.124</v>
      </c>
      <c r="N291" s="14"/>
      <c r="O291" s="14"/>
      <c r="P291" s="15" t="s">
        <v>109</v>
      </c>
      <c r="Q291" s="16">
        <f t="shared" ref="Q291" si="413">COUNTIF(C291:N291, "&gt;0" )</f>
        <v>10</v>
      </c>
      <c r="S291" s="216" t="s">
        <v>169</v>
      </c>
      <c r="T291" s="216" t="s">
        <v>2</v>
      </c>
      <c r="U291" s="17" t="s">
        <v>98</v>
      </c>
      <c r="V291" s="18">
        <f t="shared" ref="V291:AH291" si="414">C291*C298</f>
        <v>0</v>
      </c>
      <c r="W291" s="18">
        <f t="shared" si="414"/>
        <v>0.30575999999999998</v>
      </c>
      <c r="X291" s="18">
        <f t="shared" si="414"/>
        <v>1.5268000000000002</v>
      </c>
      <c r="Y291" s="18">
        <f t="shared" si="414"/>
        <v>1.675</v>
      </c>
      <c r="Z291" s="18">
        <f t="shared" si="414"/>
        <v>1.9699199999999999</v>
      </c>
      <c r="AA291" s="18">
        <f t="shared" si="414"/>
        <v>2.3130000000000002</v>
      </c>
      <c r="AB291" s="18">
        <f t="shared" si="414"/>
        <v>2.2200000000000002</v>
      </c>
      <c r="AC291" s="18">
        <f t="shared" si="414"/>
        <v>1.7755000000000001</v>
      </c>
      <c r="AD291" s="18">
        <f t="shared" si="414"/>
        <v>1.6160000000000001</v>
      </c>
      <c r="AE291" s="18">
        <f t="shared" si="414"/>
        <v>1.109</v>
      </c>
      <c r="AF291" s="18">
        <f t="shared" si="414"/>
        <v>6.2E-2</v>
      </c>
      <c r="AG291" s="18">
        <f t="shared" si="414"/>
        <v>0</v>
      </c>
      <c r="AH291" s="18">
        <f t="shared" si="414"/>
        <v>0</v>
      </c>
      <c r="AI291" s="18">
        <f t="shared" ref="AI291" si="415">R291*R298</f>
        <v>0</v>
      </c>
      <c r="AJ291" s="19">
        <f>SUM(V291:AI291)</f>
        <v>14.572980000000001</v>
      </c>
      <c r="AK291" s="2">
        <v>14.572980000000001</v>
      </c>
    </row>
    <row r="292" spans="1:37" ht="15.75" customHeight="1" x14ac:dyDescent="0.3">
      <c r="A292" s="217"/>
      <c r="B292" s="2" t="s">
        <v>110</v>
      </c>
      <c r="C292" s="15"/>
      <c r="D292" s="15" t="s">
        <v>111</v>
      </c>
      <c r="E292" s="15" t="s">
        <v>111</v>
      </c>
      <c r="F292" s="15" t="s">
        <v>111</v>
      </c>
      <c r="G292" s="15" t="s">
        <v>170</v>
      </c>
      <c r="H292" s="15" t="s">
        <v>170</v>
      </c>
      <c r="I292" s="15" t="s">
        <v>170</v>
      </c>
      <c r="J292" s="15" t="s">
        <v>112</v>
      </c>
      <c r="K292" s="15" t="s">
        <v>112</v>
      </c>
      <c r="L292" s="15" t="s">
        <v>112</v>
      </c>
      <c r="M292" s="15" t="s">
        <v>111</v>
      </c>
      <c r="N292" s="15"/>
      <c r="O292" s="15"/>
      <c r="P292" s="15" t="s">
        <v>105</v>
      </c>
      <c r="Q292" s="15">
        <f t="shared" ref="Q292" si="416">COUNTIF(C292:N292,"Cortex")</f>
        <v>4</v>
      </c>
      <c r="S292" s="217"/>
      <c r="T292" s="217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23"/>
    </row>
    <row r="293" spans="1:37" ht="15.75" customHeight="1" x14ac:dyDescent="0.3">
      <c r="A293" s="217"/>
      <c r="B293" s="2" t="s">
        <v>99</v>
      </c>
      <c r="C293" s="15">
        <v>12.175000000000001</v>
      </c>
      <c r="D293" s="15">
        <v>15.273</v>
      </c>
      <c r="E293" s="15">
        <v>19.170999999999999</v>
      </c>
      <c r="F293" s="15">
        <v>19.981000000000002</v>
      </c>
      <c r="G293" s="15">
        <v>22.11</v>
      </c>
      <c r="H293" s="15">
        <v>24.701999999999998</v>
      </c>
      <c r="I293" s="15">
        <v>24.963000000000001</v>
      </c>
      <c r="J293" s="15">
        <v>25.79</v>
      </c>
      <c r="K293" s="15">
        <v>25.64</v>
      </c>
      <c r="L293" s="15">
        <v>27.742000000000001</v>
      </c>
      <c r="M293" s="15">
        <v>25.95</v>
      </c>
      <c r="N293" s="15"/>
      <c r="O293" s="15"/>
      <c r="P293" s="15" t="s">
        <v>106</v>
      </c>
      <c r="Q293" s="15">
        <f t="shared" ref="Q293" si="417">Q291-Q292</f>
        <v>6</v>
      </c>
      <c r="S293" s="217"/>
      <c r="T293" s="217"/>
      <c r="U293" s="8" t="s">
        <v>99</v>
      </c>
      <c r="V293" s="15">
        <f t="shared" ref="V293:AH293" si="418">C293*C298</f>
        <v>6.0875000000000004</v>
      </c>
      <c r="W293" s="15">
        <f t="shared" si="418"/>
        <v>7.9419599999999999</v>
      </c>
      <c r="X293" s="15">
        <f t="shared" si="418"/>
        <v>8.4352400000000003</v>
      </c>
      <c r="Y293" s="15">
        <f t="shared" si="418"/>
        <v>9.9905000000000008</v>
      </c>
      <c r="Z293" s="15">
        <f t="shared" si="418"/>
        <v>10.6128</v>
      </c>
      <c r="AA293" s="15">
        <f t="shared" si="418"/>
        <v>12.350999999999999</v>
      </c>
      <c r="AB293" s="15">
        <f t="shared" si="418"/>
        <v>12.4815</v>
      </c>
      <c r="AC293" s="15">
        <f t="shared" si="418"/>
        <v>12.895</v>
      </c>
      <c r="AD293" s="15">
        <f t="shared" si="418"/>
        <v>12.82</v>
      </c>
      <c r="AE293" s="15">
        <f t="shared" si="418"/>
        <v>13.871</v>
      </c>
      <c r="AF293" s="15">
        <f t="shared" si="418"/>
        <v>12.975</v>
      </c>
      <c r="AG293" s="15">
        <f t="shared" si="418"/>
        <v>0</v>
      </c>
      <c r="AH293" s="15">
        <f t="shared" si="418"/>
        <v>0</v>
      </c>
      <c r="AI293" s="15">
        <f t="shared" ref="AI293" si="419">R293*R298</f>
        <v>0</v>
      </c>
      <c r="AJ293" s="23">
        <f>SUM(V293:AI293)</f>
        <v>120.46149999999999</v>
      </c>
      <c r="AK293" s="2">
        <v>120.46149999999999</v>
      </c>
    </row>
    <row r="294" spans="1:37" ht="15.75" customHeight="1" x14ac:dyDescent="0.3">
      <c r="A294" s="217"/>
      <c r="B294" s="2" t="s">
        <v>100</v>
      </c>
      <c r="C294" s="15">
        <v>9.7550000000000008</v>
      </c>
      <c r="D294" s="15">
        <v>13.845000000000001</v>
      </c>
      <c r="E294" s="15">
        <v>18.498000000000001</v>
      </c>
      <c r="F294" s="15">
        <v>18.946999999999999</v>
      </c>
      <c r="G294" s="15">
        <v>22.146000000000001</v>
      </c>
      <c r="H294" s="15">
        <v>24.41</v>
      </c>
      <c r="I294" s="15">
        <v>24.905999999999999</v>
      </c>
      <c r="J294" s="15">
        <v>26.664000000000001</v>
      </c>
      <c r="K294" s="15">
        <v>27.178000000000001</v>
      </c>
      <c r="L294" s="15">
        <v>27.473000000000003</v>
      </c>
      <c r="M294" s="15">
        <v>26.582000000000001</v>
      </c>
      <c r="N294" s="15"/>
      <c r="O294" s="15"/>
      <c r="P294" s="15" t="s">
        <v>113</v>
      </c>
      <c r="Q294" s="16">
        <f t="shared" ref="Q294" si="420">COUNTIF(C291:O291, "&gt;=0" )</f>
        <v>11</v>
      </c>
      <c r="S294" s="217"/>
      <c r="T294" s="217"/>
      <c r="U294" s="8" t="s">
        <v>100</v>
      </c>
      <c r="V294" s="15">
        <f t="shared" ref="V294:AH294" si="421">C294*C298</f>
        <v>4.8775000000000004</v>
      </c>
      <c r="W294" s="15">
        <f t="shared" si="421"/>
        <v>7.1994000000000007</v>
      </c>
      <c r="X294" s="15">
        <f t="shared" si="421"/>
        <v>8.1391200000000001</v>
      </c>
      <c r="Y294" s="15">
        <f t="shared" si="421"/>
        <v>9.4734999999999996</v>
      </c>
      <c r="Z294" s="15">
        <f t="shared" si="421"/>
        <v>10.63008</v>
      </c>
      <c r="AA294" s="15">
        <f t="shared" si="421"/>
        <v>12.205</v>
      </c>
      <c r="AB294" s="15">
        <f t="shared" si="421"/>
        <v>12.452999999999999</v>
      </c>
      <c r="AC294" s="15">
        <f t="shared" si="421"/>
        <v>13.332000000000001</v>
      </c>
      <c r="AD294" s="15">
        <f t="shared" si="421"/>
        <v>13.589</v>
      </c>
      <c r="AE294" s="15">
        <f t="shared" si="421"/>
        <v>13.736500000000001</v>
      </c>
      <c r="AF294" s="15">
        <f t="shared" si="421"/>
        <v>13.291</v>
      </c>
      <c r="AG294" s="15">
        <f t="shared" si="421"/>
        <v>0</v>
      </c>
      <c r="AH294" s="15">
        <f t="shared" si="421"/>
        <v>0</v>
      </c>
      <c r="AI294" s="15">
        <f t="shared" ref="AI294" si="422">R294*R298</f>
        <v>0</v>
      </c>
      <c r="AJ294" s="23">
        <f>SUM(V294:AI294)</f>
        <v>118.92609999999999</v>
      </c>
      <c r="AK294" s="2">
        <v>118.92609999999999</v>
      </c>
    </row>
    <row r="295" spans="1:37" x14ac:dyDescent="0.3">
      <c r="A295" s="6"/>
      <c r="B295" s="2" t="s">
        <v>114</v>
      </c>
      <c r="C295" s="15">
        <v>9.7550000000000008</v>
      </c>
      <c r="D295" s="15">
        <v>13.257000000000001</v>
      </c>
      <c r="E295" s="15">
        <v>15.028</v>
      </c>
      <c r="F295" s="15">
        <v>15.597</v>
      </c>
      <c r="G295" s="15">
        <v>18.042000000000002</v>
      </c>
      <c r="H295" s="15">
        <v>19.783999999999999</v>
      </c>
      <c r="I295" s="15">
        <v>20.465999999999998</v>
      </c>
      <c r="J295" s="15">
        <v>23.113</v>
      </c>
      <c r="K295" s="15">
        <v>23.946000000000002</v>
      </c>
      <c r="L295" s="15">
        <v>25.255000000000003</v>
      </c>
      <c r="M295" s="15">
        <v>26.458000000000002</v>
      </c>
      <c r="N295" s="15"/>
      <c r="O295" s="15"/>
      <c r="P295" s="15"/>
      <c r="Q295" s="15"/>
      <c r="S295" s="6"/>
      <c r="T295" s="6"/>
      <c r="U295" s="8" t="s">
        <v>101</v>
      </c>
      <c r="V295" s="15">
        <f t="shared" ref="V295:AH295" si="423">C295*C298</f>
        <v>4.8775000000000004</v>
      </c>
      <c r="W295" s="15">
        <f t="shared" si="423"/>
        <v>6.8936400000000013</v>
      </c>
      <c r="X295" s="15">
        <f t="shared" si="423"/>
        <v>6.6123200000000004</v>
      </c>
      <c r="Y295" s="15">
        <f t="shared" si="423"/>
        <v>7.7984999999999998</v>
      </c>
      <c r="Z295" s="15">
        <f t="shared" si="423"/>
        <v>8.6601600000000012</v>
      </c>
      <c r="AA295" s="15">
        <f t="shared" si="423"/>
        <v>9.8919999999999995</v>
      </c>
      <c r="AB295" s="15">
        <f t="shared" si="423"/>
        <v>10.232999999999999</v>
      </c>
      <c r="AC295" s="15">
        <f t="shared" si="423"/>
        <v>11.5565</v>
      </c>
      <c r="AD295" s="15">
        <f t="shared" si="423"/>
        <v>11.973000000000001</v>
      </c>
      <c r="AE295" s="15">
        <f t="shared" si="423"/>
        <v>12.627500000000001</v>
      </c>
      <c r="AF295" s="15">
        <f t="shared" si="423"/>
        <v>13.229000000000001</v>
      </c>
      <c r="AG295" s="15">
        <f t="shared" si="423"/>
        <v>0</v>
      </c>
      <c r="AH295" s="15">
        <f t="shared" si="423"/>
        <v>0</v>
      </c>
      <c r="AI295" s="15">
        <f t="shared" ref="AI295" si="424">R295*R298</f>
        <v>0</v>
      </c>
      <c r="AJ295" s="23">
        <f>SUM(V295:AI295)</f>
        <v>104.35311999999999</v>
      </c>
      <c r="AK295" s="2">
        <v>104.35311999999999</v>
      </c>
    </row>
    <row r="296" spans="1:37" x14ac:dyDescent="0.3">
      <c r="A296" s="6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S296" s="6"/>
      <c r="T296" s="6"/>
      <c r="U296" s="24" t="s">
        <v>115</v>
      </c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19">
        <f>(AJ293-AJ294)/AJ293*100</f>
        <v>1.2745981081092266</v>
      </c>
      <c r="AK296" s="2">
        <v>1.2745981081092266</v>
      </c>
    </row>
    <row r="297" spans="1:37" x14ac:dyDescent="0.3">
      <c r="A297" s="6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S297" s="6"/>
      <c r="T297" s="6"/>
      <c r="U297" s="24" t="s">
        <v>103</v>
      </c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19">
        <f>AJ293-AJ295</f>
        <v>16.108379999999997</v>
      </c>
      <c r="AK297" s="2">
        <v>16.108379999999997</v>
      </c>
    </row>
    <row r="298" spans="1:37" ht="16.2" thickBot="1" x14ac:dyDescent="0.35">
      <c r="A298" s="6"/>
      <c r="B298" s="2" t="s">
        <v>32</v>
      </c>
      <c r="C298" s="15">
        <v>0.5</v>
      </c>
      <c r="D298" s="15">
        <v>0.52</v>
      </c>
      <c r="E298" s="15">
        <v>0.44</v>
      </c>
      <c r="F298" s="15">
        <v>0.5</v>
      </c>
      <c r="G298" s="15">
        <v>0.48</v>
      </c>
      <c r="H298" s="15">
        <v>0.5</v>
      </c>
      <c r="I298" s="15">
        <v>0.5</v>
      </c>
      <c r="J298" s="15">
        <v>0.5</v>
      </c>
      <c r="K298" s="15">
        <v>0.5</v>
      </c>
      <c r="L298" s="15">
        <v>0.5</v>
      </c>
      <c r="M298" s="15">
        <v>0.5</v>
      </c>
      <c r="N298" s="15"/>
      <c r="O298" s="15"/>
      <c r="P298" s="15"/>
      <c r="Q298" s="15"/>
      <c r="R298" s="16"/>
      <c r="S298" s="6"/>
      <c r="T298" s="6"/>
      <c r="U298" s="8" t="s">
        <v>97</v>
      </c>
      <c r="V298" s="219"/>
      <c r="W298" s="219"/>
      <c r="X298" s="219"/>
      <c r="Y298" s="219"/>
      <c r="Z298" s="219"/>
      <c r="AA298" s="219"/>
      <c r="AB298" s="219"/>
      <c r="AC298" s="219"/>
      <c r="AD298" s="219"/>
      <c r="AE298" s="219"/>
      <c r="AF298" s="219"/>
      <c r="AG298" s="219"/>
      <c r="AH298" s="219"/>
      <c r="AI298" s="220"/>
      <c r="AJ298" s="26"/>
    </row>
    <row r="299" spans="1:37" ht="15.75" customHeight="1" x14ac:dyDescent="0.3">
      <c r="A299" s="216" t="s">
        <v>171</v>
      </c>
      <c r="B299" s="13" t="s">
        <v>98</v>
      </c>
      <c r="C299" s="14">
        <v>0</v>
      </c>
      <c r="D299" s="14">
        <v>0</v>
      </c>
      <c r="E299" s="14">
        <v>0.54100000000000004</v>
      </c>
      <c r="F299" s="14">
        <v>3.5609999999999999</v>
      </c>
      <c r="G299" s="14">
        <v>3.702</v>
      </c>
      <c r="H299" s="14">
        <v>2.7650000000000001</v>
      </c>
      <c r="I299" s="14">
        <v>2.6960000000000002</v>
      </c>
      <c r="J299" s="14">
        <v>3.0569999999999999</v>
      </c>
      <c r="K299" s="14">
        <v>3.19</v>
      </c>
      <c r="L299" s="14">
        <v>3.3130000000000002</v>
      </c>
      <c r="M299" s="14">
        <v>0.78</v>
      </c>
      <c r="N299" s="14">
        <v>0.221</v>
      </c>
      <c r="O299" s="14"/>
      <c r="P299" s="15" t="s">
        <v>109</v>
      </c>
      <c r="Q299" s="16">
        <f t="shared" ref="Q299" si="425">COUNTIF(C299:N299, "&gt;0" )</f>
        <v>10</v>
      </c>
      <c r="S299" s="216" t="s">
        <v>171</v>
      </c>
      <c r="T299" s="216" t="s">
        <v>2</v>
      </c>
      <c r="U299" s="17" t="s">
        <v>98</v>
      </c>
      <c r="V299" s="18">
        <f t="shared" ref="V299:AH299" si="426">C299*C306</f>
        <v>0</v>
      </c>
      <c r="W299" s="18">
        <f t="shared" si="426"/>
        <v>0</v>
      </c>
      <c r="X299" s="18">
        <f t="shared" si="426"/>
        <v>0.27050000000000002</v>
      </c>
      <c r="Y299" s="18">
        <f t="shared" si="426"/>
        <v>1.7805</v>
      </c>
      <c r="Z299" s="18">
        <f t="shared" si="426"/>
        <v>1.851</v>
      </c>
      <c r="AA299" s="18">
        <f t="shared" si="426"/>
        <v>1.3825000000000001</v>
      </c>
      <c r="AB299" s="18">
        <f t="shared" si="426"/>
        <v>1.3480000000000001</v>
      </c>
      <c r="AC299" s="18">
        <f t="shared" si="426"/>
        <v>1.5285</v>
      </c>
      <c r="AD299" s="18">
        <f t="shared" si="426"/>
        <v>1.595</v>
      </c>
      <c r="AE299" s="18">
        <f t="shared" si="426"/>
        <v>1.6565000000000001</v>
      </c>
      <c r="AF299" s="18">
        <f t="shared" si="426"/>
        <v>0.40560000000000002</v>
      </c>
      <c r="AG299" s="18">
        <f t="shared" si="426"/>
        <v>0.10607999999999999</v>
      </c>
      <c r="AH299" s="18">
        <f t="shared" si="426"/>
        <v>0</v>
      </c>
      <c r="AI299" s="18">
        <f t="shared" ref="AI299" si="427">R299*R306</f>
        <v>0</v>
      </c>
      <c r="AJ299" s="19">
        <f>SUM(V299:AI299)</f>
        <v>11.92418</v>
      </c>
      <c r="AK299" s="2">
        <v>11.92418</v>
      </c>
    </row>
    <row r="300" spans="1:37" ht="15.75" customHeight="1" x14ac:dyDescent="0.3">
      <c r="A300" s="217"/>
      <c r="B300" s="2" t="s">
        <v>110</v>
      </c>
      <c r="C300" s="15"/>
      <c r="D300" s="15"/>
      <c r="E300" s="15" t="s">
        <v>111</v>
      </c>
      <c r="F300" s="15" t="s">
        <v>112</v>
      </c>
      <c r="G300" s="15" t="s">
        <v>112</v>
      </c>
      <c r="H300" s="15" t="s">
        <v>112</v>
      </c>
      <c r="I300" s="15" t="s">
        <v>112</v>
      </c>
      <c r="J300" s="15" t="s">
        <v>112</v>
      </c>
      <c r="K300" s="15" t="s">
        <v>111</v>
      </c>
      <c r="L300" s="15" t="s">
        <v>111</v>
      </c>
      <c r="M300" s="15" t="s">
        <v>111</v>
      </c>
      <c r="N300" s="15" t="s">
        <v>111</v>
      </c>
      <c r="O300" s="15"/>
      <c r="P300" s="15" t="s">
        <v>105</v>
      </c>
      <c r="Q300" s="15">
        <f t="shared" ref="Q300" si="428">COUNTIF(C300:N300,"Cortex")</f>
        <v>5</v>
      </c>
      <c r="S300" s="217"/>
      <c r="T300" s="217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23"/>
    </row>
    <row r="301" spans="1:37" ht="15.75" customHeight="1" x14ac:dyDescent="0.3">
      <c r="A301" s="217"/>
      <c r="B301" s="2" t="s">
        <v>99</v>
      </c>
      <c r="C301" s="15">
        <v>10.781000000000001</v>
      </c>
      <c r="D301" s="15">
        <v>13.587999999999999</v>
      </c>
      <c r="E301" s="15">
        <v>13.613</v>
      </c>
      <c r="F301" s="15">
        <v>19.202999999999999</v>
      </c>
      <c r="G301" s="15">
        <v>20.64</v>
      </c>
      <c r="H301" s="15">
        <v>23.13</v>
      </c>
      <c r="I301" s="15">
        <v>23.6</v>
      </c>
      <c r="J301" s="15">
        <v>24.759</v>
      </c>
      <c r="K301" s="15">
        <v>25.366</v>
      </c>
      <c r="L301" s="15">
        <v>26.971</v>
      </c>
      <c r="M301" s="15">
        <v>26.364000000000001</v>
      </c>
      <c r="N301" s="15">
        <v>24.776</v>
      </c>
      <c r="O301" s="15"/>
      <c r="P301" s="15" t="s">
        <v>106</v>
      </c>
      <c r="Q301" s="15">
        <f t="shared" ref="Q301" si="429">Q299-Q300</f>
        <v>5</v>
      </c>
      <c r="S301" s="217"/>
      <c r="T301" s="217"/>
      <c r="U301" s="8" t="s">
        <v>99</v>
      </c>
      <c r="V301" s="15">
        <f t="shared" ref="V301:AH301" si="430">C301*C306</f>
        <v>5.3905000000000003</v>
      </c>
      <c r="W301" s="15">
        <f t="shared" si="430"/>
        <v>6.5222399999999991</v>
      </c>
      <c r="X301" s="15">
        <f t="shared" si="430"/>
        <v>6.8064999999999998</v>
      </c>
      <c r="Y301" s="15">
        <f t="shared" si="430"/>
        <v>9.6014999999999997</v>
      </c>
      <c r="Z301" s="15">
        <f t="shared" si="430"/>
        <v>10.32</v>
      </c>
      <c r="AA301" s="15">
        <f t="shared" si="430"/>
        <v>11.565</v>
      </c>
      <c r="AB301" s="15">
        <f t="shared" si="430"/>
        <v>11.8</v>
      </c>
      <c r="AC301" s="15">
        <f t="shared" si="430"/>
        <v>12.3795</v>
      </c>
      <c r="AD301" s="15">
        <f t="shared" si="430"/>
        <v>12.683</v>
      </c>
      <c r="AE301" s="15">
        <f t="shared" si="430"/>
        <v>13.4855</v>
      </c>
      <c r="AF301" s="15">
        <f t="shared" si="430"/>
        <v>13.709280000000001</v>
      </c>
      <c r="AG301" s="15">
        <f t="shared" si="430"/>
        <v>11.892479999999999</v>
      </c>
      <c r="AH301" s="15">
        <f t="shared" si="430"/>
        <v>0</v>
      </c>
      <c r="AI301" s="15">
        <f t="shared" ref="AI301" si="431">R301*R306</f>
        <v>0</v>
      </c>
      <c r="AJ301" s="23">
        <f>SUM(V301:AI301)</f>
        <v>126.15550000000002</v>
      </c>
      <c r="AK301" s="2">
        <v>126.15550000000002</v>
      </c>
    </row>
    <row r="302" spans="1:37" ht="15.75" customHeight="1" x14ac:dyDescent="0.3">
      <c r="A302" s="217"/>
      <c r="B302" s="2" t="s">
        <v>100</v>
      </c>
      <c r="C302" s="15">
        <v>12.021000000000001</v>
      </c>
      <c r="D302" s="15">
        <v>14.677</v>
      </c>
      <c r="E302" s="15">
        <v>16.334</v>
      </c>
      <c r="F302" s="15">
        <v>18.149000000000001</v>
      </c>
      <c r="G302" s="15">
        <v>20.169</v>
      </c>
      <c r="H302" s="15">
        <v>21.414000000000001</v>
      </c>
      <c r="I302" s="15">
        <v>21.885999999999999</v>
      </c>
      <c r="J302" s="15">
        <v>22.85</v>
      </c>
      <c r="K302" s="15">
        <v>23.995999999999999</v>
      </c>
      <c r="L302" s="15">
        <v>24.658999999999999</v>
      </c>
      <c r="M302" s="15">
        <v>25.341999999999999</v>
      </c>
      <c r="N302" s="15">
        <v>24.555</v>
      </c>
      <c r="O302" s="15"/>
      <c r="P302" s="15" t="s">
        <v>113</v>
      </c>
      <c r="Q302" s="16">
        <f t="shared" ref="Q302" si="432">COUNTIF(C299:O299, "&gt;=0" )</f>
        <v>12</v>
      </c>
      <c r="S302" s="217"/>
      <c r="T302" s="217"/>
      <c r="U302" s="8" t="s">
        <v>100</v>
      </c>
      <c r="V302" s="15">
        <f t="shared" ref="V302:AH302" si="433">C302*C306</f>
        <v>6.0105000000000004</v>
      </c>
      <c r="W302" s="15">
        <f t="shared" si="433"/>
        <v>7.0449599999999997</v>
      </c>
      <c r="X302" s="15">
        <f t="shared" si="433"/>
        <v>8.1669999999999998</v>
      </c>
      <c r="Y302" s="15">
        <f t="shared" si="433"/>
        <v>9.0745000000000005</v>
      </c>
      <c r="Z302" s="15">
        <f t="shared" si="433"/>
        <v>10.0845</v>
      </c>
      <c r="AA302" s="15">
        <f t="shared" si="433"/>
        <v>10.707000000000001</v>
      </c>
      <c r="AB302" s="15">
        <f t="shared" si="433"/>
        <v>10.943</v>
      </c>
      <c r="AC302" s="15">
        <f t="shared" si="433"/>
        <v>11.425000000000001</v>
      </c>
      <c r="AD302" s="15">
        <f t="shared" si="433"/>
        <v>11.997999999999999</v>
      </c>
      <c r="AE302" s="15">
        <f t="shared" si="433"/>
        <v>12.329499999999999</v>
      </c>
      <c r="AF302" s="15">
        <f t="shared" si="433"/>
        <v>13.17784</v>
      </c>
      <c r="AG302" s="15">
        <f t="shared" si="433"/>
        <v>11.786399999999999</v>
      </c>
      <c r="AH302" s="15">
        <f t="shared" si="433"/>
        <v>0</v>
      </c>
      <c r="AI302" s="15">
        <f t="shared" ref="AI302" si="434">R302*R306</f>
        <v>0</v>
      </c>
      <c r="AJ302" s="23">
        <f>SUM(V302:AI302)</f>
        <v>122.7482</v>
      </c>
      <c r="AK302" s="2">
        <v>122.7482</v>
      </c>
    </row>
    <row r="303" spans="1:37" x14ac:dyDescent="0.3">
      <c r="A303" s="6"/>
      <c r="B303" s="2" t="s">
        <v>114</v>
      </c>
      <c r="C303" s="15">
        <v>12.021000000000001</v>
      </c>
      <c r="D303" s="15">
        <v>14.677</v>
      </c>
      <c r="E303" s="15">
        <v>15.792999999999999</v>
      </c>
      <c r="F303" s="15">
        <v>14.588000000000001</v>
      </c>
      <c r="G303" s="15">
        <v>16.466999999999999</v>
      </c>
      <c r="H303" s="15">
        <v>18.649000000000001</v>
      </c>
      <c r="I303" s="15">
        <v>19.189999999999998</v>
      </c>
      <c r="J303" s="15">
        <v>19.793000000000003</v>
      </c>
      <c r="K303" s="15">
        <v>20.805999999999997</v>
      </c>
      <c r="L303" s="15">
        <v>21.346</v>
      </c>
      <c r="M303" s="15">
        <v>24.561999999999998</v>
      </c>
      <c r="N303" s="15">
        <v>24.334</v>
      </c>
      <c r="O303" s="15"/>
      <c r="P303" s="15"/>
      <c r="Q303" s="15"/>
      <c r="S303" s="6"/>
      <c r="T303" s="6"/>
      <c r="U303" s="8" t="s">
        <v>101</v>
      </c>
      <c r="V303" s="15">
        <f t="shared" ref="V303:AH303" si="435">C303*C306</f>
        <v>6.0105000000000004</v>
      </c>
      <c r="W303" s="15">
        <f t="shared" si="435"/>
        <v>7.0449599999999997</v>
      </c>
      <c r="X303" s="15">
        <f t="shared" si="435"/>
        <v>7.8964999999999996</v>
      </c>
      <c r="Y303" s="15">
        <f t="shared" si="435"/>
        <v>7.2940000000000005</v>
      </c>
      <c r="Z303" s="15">
        <f t="shared" si="435"/>
        <v>8.2334999999999994</v>
      </c>
      <c r="AA303" s="15">
        <f t="shared" si="435"/>
        <v>9.3245000000000005</v>
      </c>
      <c r="AB303" s="15">
        <f t="shared" si="435"/>
        <v>9.5949999999999989</v>
      </c>
      <c r="AC303" s="15">
        <f t="shared" si="435"/>
        <v>9.8965000000000014</v>
      </c>
      <c r="AD303" s="15">
        <f t="shared" si="435"/>
        <v>10.402999999999999</v>
      </c>
      <c r="AE303" s="15">
        <f t="shared" si="435"/>
        <v>10.673</v>
      </c>
      <c r="AF303" s="15">
        <f t="shared" si="435"/>
        <v>12.77224</v>
      </c>
      <c r="AG303" s="15">
        <f t="shared" si="435"/>
        <v>11.68032</v>
      </c>
      <c r="AH303" s="15">
        <f t="shared" si="435"/>
        <v>0</v>
      </c>
      <c r="AI303" s="15">
        <f t="shared" ref="AI303" si="436">R303*R306</f>
        <v>0</v>
      </c>
      <c r="AJ303" s="23">
        <f>SUM(V303:AI303)</f>
        <v>110.82402</v>
      </c>
      <c r="AK303" s="2">
        <v>110.82402</v>
      </c>
    </row>
    <row r="304" spans="1:37" x14ac:dyDescent="0.3">
      <c r="A304" s="6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S304" s="6"/>
      <c r="T304" s="6"/>
      <c r="U304" s="24" t="s">
        <v>115</v>
      </c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19">
        <f>(AJ301-AJ302)/AJ301*100</f>
        <v>2.7008731287974128</v>
      </c>
      <c r="AK304" s="2">
        <v>2.7008731287974128</v>
      </c>
    </row>
    <row r="305" spans="1:37" x14ac:dyDescent="0.3">
      <c r="A305" s="6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S305" s="6"/>
      <c r="T305" s="6"/>
      <c r="U305" s="24" t="s">
        <v>103</v>
      </c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19">
        <f>AJ301-AJ303</f>
        <v>15.331480000000013</v>
      </c>
      <c r="AK305" s="2">
        <v>15.331480000000013</v>
      </c>
    </row>
    <row r="306" spans="1:37" ht="16.2" thickBot="1" x14ac:dyDescent="0.35">
      <c r="A306" s="6"/>
      <c r="B306" s="2" t="s">
        <v>32</v>
      </c>
      <c r="C306" s="15">
        <v>0.5</v>
      </c>
      <c r="D306" s="15">
        <v>0.48</v>
      </c>
      <c r="E306" s="15">
        <v>0.5</v>
      </c>
      <c r="F306" s="15">
        <v>0.5</v>
      </c>
      <c r="G306" s="15">
        <v>0.5</v>
      </c>
      <c r="H306" s="15">
        <v>0.5</v>
      </c>
      <c r="I306" s="15">
        <v>0.5</v>
      </c>
      <c r="J306" s="15">
        <v>0.5</v>
      </c>
      <c r="K306" s="15">
        <v>0.5</v>
      </c>
      <c r="L306" s="15">
        <v>0.5</v>
      </c>
      <c r="M306" s="15">
        <v>0.52</v>
      </c>
      <c r="N306" s="15">
        <v>0.48</v>
      </c>
      <c r="O306" s="15"/>
      <c r="P306" s="15"/>
      <c r="Q306" s="15"/>
      <c r="R306" s="16"/>
      <c r="S306" s="6"/>
      <c r="T306" s="6"/>
      <c r="U306" s="8" t="s">
        <v>97</v>
      </c>
      <c r="V306" s="219"/>
      <c r="W306" s="219"/>
      <c r="X306" s="219"/>
      <c r="Y306" s="219"/>
      <c r="Z306" s="219"/>
      <c r="AA306" s="219"/>
      <c r="AB306" s="219"/>
      <c r="AC306" s="219"/>
      <c r="AD306" s="219"/>
      <c r="AE306" s="219"/>
      <c r="AF306" s="219"/>
      <c r="AG306" s="219"/>
      <c r="AH306" s="219"/>
      <c r="AI306" s="220"/>
      <c r="AJ306" s="26"/>
    </row>
    <row r="307" spans="1:37" ht="15.75" customHeight="1" x14ac:dyDescent="0.3">
      <c r="A307" s="216" t="s">
        <v>172</v>
      </c>
      <c r="B307" s="13" t="s">
        <v>98</v>
      </c>
      <c r="C307" s="14">
        <v>0</v>
      </c>
      <c r="D307" s="14">
        <v>0</v>
      </c>
      <c r="E307" s="14">
        <v>0.872</v>
      </c>
      <c r="F307" s="14">
        <v>3.2610000000000001</v>
      </c>
      <c r="G307" s="14">
        <v>3.5619999999999998</v>
      </c>
      <c r="H307" s="14">
        <v>4.1619999999999999</v>
      </c>
      <c r="I307" s="14">
        <v>3.5249999999999999</v>
      </c>
      <c r="J307" s="14">
        <v>3.5920000000000001</v>
      </c>
      <c r="K307" s="14">
        <v>1.627</v>
      </c>
      <c r="L307" s="14">
        <v>0.32200000000000001</v>
      </c>
      <c r="M307" s="14"/>
      <c r="N307" s="14"/>
      <c r="O307" s="14"/>
      <c r="P307" s="15" t="s">
        <v>109</v>
      </c>
      <c r="Q307" s="16">
        <f t="shared" ref="Q307" si="437">COUNTIF(C307:N307, "&gt;0" )</f>
        <v>8</v>
      </c>
      <c r="S307" s="216" t="s">
        <v>172</v>
      </c>
      <c r="T307" s="216" t="s">
        <v>2</v>
      </c>
      <c r="U307" s="17" t="s">
        <v>98</v>
      </c>
      <c r="V307" s="18">
        <f t="shared" ref="V307:AH307" si="438">C307*C314</f>
        <v>0</v>
      </c>
      <c r="W307" s="18">
        <f t="shared" si="438"/>
        <v>0</v>
      </c>
      <c r="X307" s="18">
        <f t="shared" si="438"/>
        <v>0.40112000000000003</v>
      </c>
      <c r="Y307" s="18">
        <f t="shared" si="438"/>
        <v>1.6305000000000001</v>
      </c>
      <c r="Z307" s="18">
        <f t="shared" si="438"/>
        <v>1.7809999999999999</v>
      </c>
      <c r="AA307" s="18">
        <f t="shared" si="438"/>
        <v>2.1642399999999999</v>
      </c>
      <c r="AB307" s="18">
        <f t="shared" si="438"/>
        <v>1.6919999999999999</v>
      </c>
      <c r="AC307" s="18">
        <f t="shared" si="438"/>
        <v>1.796</v>
      </c>
      <c r="AD307" s="18">
        <f t="shared" si="438"/>
        <v>0.91112000000000004</v>
      </c>
      <c r="AE307" s="18">
        <f t="shared" si="438"/>
        <v>0.14168</v>
      </c>
      <c r="AF307" s="18">
        <f t="shared" si="438"/>
        <v>0</v>
      </c>
      <c r="AG307" s="18">
        <f t="shared" si="438"/>
        <v>0</v>
      </c>
      <c r="AH307" s="18">
        <f t="shared" si="438"/>
        <v>0</v>
      </c>
      <c r="AI307" s="18">
        <f t="shared" ref="AI307" si="439">R307*R314</f>
        <v>0</v>
      </c>
      <c r="AJ307" s="19">
        <f>SUM(V307:AI307)</f>
        <v>10.517659999999999</v>
      </c>
      <c r="AK307" s="2">
        <v>10.517659999999999</v>
      </c>
    </row>
    <row r="308" spans="1:37" ht="15.75" customHeight="1" x14ac:dyDescent="0.3">
      <c r="A308" s="217"/>
      <c r="B308" s="2" t="s">
        <v>110</v>
      </c>
      <c r="C308" s="15"/>
      <c r="D308" s="15"/>
      <c r="E308" s="15" t="s">
        <v>111</v>
      </c>
      <c r="F308" s="15" t="s">
        <v>111</v>
      </c>
      <c r="G308" s="15" t="s">
        <v>111</v>
      </c>
      <c r="H308" s="15" t="s">
        <v>111</v>
      </c>
      <c r="I308" s="15" t="s">
        <v>111</v>
      </c>
      <c r="J308" s="15" t="s">
        <v>112</v>
      </c>
      <c r="K308" s="15" t="s">
        <v>111</v>
      </c>
      <c r="L308" s="15" t="s">
        <v>111</v>
      </c>
      <c r="M308" s="15"/>
      <c r="N308" s="15"/>
      <c r="O308" s="15"/>
      <c r="P308" s="15" t="s">
        <v>105</v>
      </c>
      <c r="Q308" s="15">
        <f t="shared" ref="Q308" si="440">COUNTIF(C308:N308,"Cortex")</f>
        <v>7</v>
      </c>
      <c r="S308" s="217"/>
      <c r="T308" s="217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23"/>
    </row>
    <row r="309" spans="1:37" ht="15.75" customHeight="1" x14ac:dyDescent="0.3">
      <c r="A309" s="217"/>
      <c r="B309" s="2" t="s">
        <v>99</v>
      </c>
      <c r="C309" s="15">
        <v>11.635000000000002</v>
      </c>
      <c r="D309" s="15">
        <v>14.295</v>
      </c>
      <c r="E309" s="15">
        <v>17.608000000000001</v>
      </c>
      <c r="F309" s="15">
        <v>20.077000000000002</v>
      </c>
      <c r="G309" s="15">
        <v>23.515999999999998</v>
      </c>
      <c r="H309" s="15">
        <v>24.029</v>
      </c>
      <c r="I309" s="15">
        <v>25.260999999999999</v>
      </c>
      <c r="J309" s="15">
        <v>25.666</v>
      </c>
      <c r="K309" s="15">
        <v>26.103000000000002</v>
      </c>
      <c r="L309" s="15">
        <v>26.521999999999998</v>
      </c>
      <c r="M309" s="15"/>
      <c r="N309" s="15"/>
      <c r="O309" s="15"/>
      <c r="P309" s="15" t="s">
        <v>106</v>
      </c>
      <c r="Q309" s="15">
        <f t="shared" ref="Q309" si="441">Q307-Q308</f>
        <v>1</v>
      </c>
      <c r="S309" s="217"/>
      <c r="T309" s="217"/>
      <c r="U309" s="8" t="s">
        <v>99</v>
      </c>
      <c r="V309" s="15">
        <f t="shared" ref="V309:AH309" si="442">C309*C314</f>
        <v>5.8175000000000008</v>
      </c>
      <c r="W309" s="15">
        <f t="shared" si="442"/>
        <v>7.4333999999999998</v>
      </c>
      <c r="X309" s="15">
        <f t="shared" si="442"/>
        <v>8.0996800000000011</v>
      </c>
      <c r="Y309" s="15">
        <f t="shared" si="442"/>
        <v>10.038500000000001</v>
      </c>
      <c r="Z309" s="15">
        <f t="shared" si="442"/>
        <v>11.757999999999999</v>
      </c>
      <c r="AA309" s="15">
        <f t="shared" si="442"/>
        <v>12.49508</v>
      </c>
      <c r="AB309" s="15">
        <f t="shared" si="442"/>
        <v>12.12528</v>
      </c>
      <c r="AC309" s="15">
        <f t="shared" si="442"/>
        <v>12.833</v>
      </c>
      <c r="AD309" s="15">
        <f t="shared" si="442"/>
        <v>14.617680000000002</v>
      </c>
      <c r="AE309" s="15">
        <f t="shared" si="442"/>
        <v>11.66968</v>
      </c>
      <c r="AF309" s="15">
        <f t="shared" si="442"/>
        <v>0</v>
      </c>
      <c r="AG309" s="15">
        <f t="shared" si="442"/>
        <v>0</v>
      </c>
      <c r="AH309" s="15">
        <f t="shared" si="442"/>
        <v>0</v>
      </c>
      <c r="AI309" s="15">
        <f t="shared" ref="AI309" si="443">R309*R314</f>
        <v>0</v>
      </c>
      <c r="AJ309" s="23">
        <f>SUM(V309:AI309)</f>
        <v>106.88780000000001</v>
      </c>
      <c r="AK309" s="2">
        <v>106.88780000000001</v>
      </c>
    </row>
    <row r="310" spans="1:37" ht="15.75" customHeight="1" x14ac:dyDescent="0.3">
      <c r="A310" s="217"/>
      <c r="B310" s="2" t="s">
        <v>100</v>
      </c>
      <c r="C310" s="15">
        <v>12.272</v>
      </c>
      <c r="D310" s="15">
        <v>14.950000000000001</v>
      </c>
      <c r="E310" s="15">
        <v>17.446000000000002</v>
      </c>
      <c r="F310" s="15">
        <v>18.940999999999999</v>
      </c>
      <c r="G310" s="15">
        <v>23.194999999999997</v>
      </c>
      <c r="H310" s="15">
        <v>23.353999999999999</v>
      </c>
      <c r="I310" s="15">
        <v>24.096</v>
      </c>
      <c r="J310" s="15">
        <v>26.516999999999999</v>
      </c>
      <c r="K310" s="15">
        <v>26.335999999999999</v>
      </c>
      <c r="L310" s="15">
        <v>25.972999999999999</v>
      </c>
      <c r="M310" s="15"/>
      <c r="N310" s="15"/>
      <c r="O310" s="15"/>
      <c r="P310" s="15" t="s">
        <v>113</v>
      </c>
      <c r="Q310" s="16">
        <f t="shared" ref="Q310" si="444">COUNTIF(C307:O307, "&gt;=0" )</f>
        <v>10</v>
      </c>
      <c r="S310" s="217"/>
      <c r="T310" s="217"/>
      <c r="U310" s="8" t="s">
        <v>100</v>
      </c>
      <c r="V310" s="15">
        <f t="shared" ref="V310:AH310" si="445">C310*C314</f>
        <v>6.1360000000000001</v>
      </c>
      <c r="W310" s="15">
        <f t="shared" si="445"/>
        <v>7.7740000000000009</v>
      </c>
      <c r="X310" s="15">
        <f t="shared" si="445"/>
        <v>8.0251600000000014</v>
      </c>
      <c r="Y310" s="15">
        <f t="shared" si="445"/>
        <v>9.4704999999999995</v>
      </c>
      <c r="Z310" s="15">
        <f t="shared" si="445"/>
        <v>11.597499999999998</v>
      </c>
      <c r="AA310" s="15">
        <f t="shared" si="445"/>
        <v>12.144080000000001</v>
      </c>
      <c r="AB310" s="15">
        <f t="shared" si="445"/>
        <v>11.566079999999999</v>
      </c>
      <c r="AC310" s="15">
        <f t="shared" si="445"/>
        <v>13.2585</v>
      </c>
      <c r="AD310" s="15">
        <f t="shared" si="445"/>
        <v>14.74816</v>
      </c>
      <c r="AE310" s="15">
        <f t="shared" si="445"/>
        <v>11.42812</v>
      </c>
      <c r="AF310" s="15">
        <f t="shared" si="445"/>
        <v>0</v>
      </c>
      <c r="AG310" s="15">
        <f t="shared" si="445"/>
        <v>0</v>
      </c>
      <c r="AH310" s="15">
        <f t="shared" si="445"/>
        <v>0</v>
      </c>
      <c r="AI310" s="15">
        <f t="shared" ref="AI310" si="446">R310*R314</f>
        <v>0</v>
      </c>
      <c r="AJ310" s="23">
        <f>SUM(V310:AI310)</f>
        <v>106.1481</v>
      </c>
      <c r="AK310" s="2">
        <v>106.1481</v>
      </c>
    </row>
    <row r="311" spans="1:37" x14ac:dyDescent="0.3">
      <c r="A311" s="6"/>
      <c r="B311" s="2" t="s">
        <v>114</v>
      </c>
      <c r="C311" s="15">
        <v>12.272</v>
      </c>
      <c r="D311" s="15">
        <v>14.950000000000001</v>
      </c>
      <c r="E311" s="15">
        <v>16.574000000000002</v>
      </c>
      <c r="F311" s="15">
        <v>15.68</v>
      </c>
      <c r="G311" s="15">
        <v>19.632999999999996</v>
      </c>
      <c r="H311" s="15">
        <v>19.192</v>
      </c>
      <c r="I311" s="15">
        <v>20.571000000000002</v>
      </c>
      <c r="J311" s="15">
        <v>22.925000000000001</v>
      </c>
      <c r="K311" s="15">
        <v>24.709</v>
      </c>
      <c r="L311" s="15">
        <v>25.651</v>
      </c>
      <c r="M311" s="15"/>
      <c r="N311" s="15"/>
      <c r="O311" s="15"/>
      <c r="P311" s="15"/>
      <c r="Q311" s="15"/>
      <c r="S311" s="6"/>
      <c r="T311" s="6"/>
      <c r="U311" s="8" t="s">
        <v>101</v>
      </c>
      <c r="V311" s="15">
        <f t="shared" ref="V311:AH311" si="447">C311*C314</f>
        <v>6.1360000000000001</v>
      </c>
      <c r="W311" s="15">
        <f t="shared" si="447"/>
        <v>7.7740000000000009</v>
      </c>
      <c r="X311" s="15">
        <f t="shared" si="447"/>
        <v>7.6240400000000008</v>
      </c>
      <c r="Y311" s="15">
        <f t="shared" si="447"/>
        <v>7.84</v>
      </c>
      <c r="Z311" s="15">
        <f t="shared" si="447"/>
        <v>9.8164999999999978</v>
      </c>
      <c r="AA311" s="15">
        <f t="shared" si="447"/>
        <v>9.9798400000000012</v>
      </c>
      <c r="AB311" s="15">
        <f t="shared" si="447"/>
        <v>9.8740800000000011</v>
      </c>
      <c r="AC311" s="15">
        <f t="shared" si="447"/>
        <v>11.4625</v>
      </c>
      <c r="AD311" s="15">
        <f t="shared" si="447"/>
        <v>13.837040000000002</v>
      </c>
      <c r="AE311" s="15">
        <f t="shared" si="447"/>
        <v>11.286440000000001</v>
      </c>
      <c r="AF311" s="15">
        <f t="shared" si="447"/>
        <v>0</v>
      </c>
      <c r="AG311" s="15">
        <f t="shared" si="447"/>
        <v>0</v>
      </c>
      <c r="AH311" s="15">
        <f t="shared" si="447"/>
        <v>0</v>
      </c>
      <c r="AI311" s="15">
        <f t="shared" ref="AI311" si="448">R311*R314</f>
        <v>0</v>
      </c>
      <c r="AJ311" s="23">
        <f>SUM(V311:AI311)</f>
        <v>95.630440000000007</v>
      </c>
      <c r="AK311" s="2">
        <v>95.630440000000007</v>
      </c>
    </row>
    <row r="312" spans="1:37" x14ac:dyDescent="0.3">
      <c r="A312" s="6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S312" s="6"/>
      <c r="T312" s="6"/>
      <c r="U312" s="24" t="s">
        <v>115</v>
      </c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19">
        <f>(AJ309-AJ310)/AJ309*100</f>
        <v>0.69203407685443352</v>
      </c>
      <c r="AK312" s="2">
        <v>0.69203407685443352</v>
      </c>
    </row>
    <row r="313" spans="1:37" x14ac:dyDescent="0.3">
      <c r="A313" s="6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S313" s="6"/>
      <c r="T313" s="6"/>
      <c r="U313" s="24" t="s">
        <v>103</v>
      </c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19">
        <f>AJ309-AJ311</f>
        <v>11.257360000000006</v>
      </c>
      <c r="AK313" s="2">
        <v>11.257360000000006</v>
      </c>
    </row>
    <row r="314" spans="1:37" ht="16.2" thickBot="1" x14ac:dyDescent="0.35">
      <c r="A314" s="6"/>
      <c r="B314" s="2" t="s">
        <v>32</v>
      </c>
      <c r="C314" s="15">
        <v>0.5</v>
      </c>
      <c r="D314" s="15">
        <v>0.52</v>
      </c>
      <c r="E314" s="15">
        <v>0.46</v>
      </c>
      <c r="F314" s="15">
        <v>0.5</v>
      </c>
      <c r="G314" s="15">
        <v>0.5</v>
      </c>
      <c r="H314" s="15">
        <v>0.52</v>
      </c>
      <c r="I314" s="15">
        <v>0.48</v>
      </c>
      <c r="J314" s="15">
        <v>0.5</v>
      </c>
      <c r="K314" s="15">
        <v>0.56000000000000005</v>
      </c>
      <c r="L314" s="15">
        <v>0.44</v>
      </c>
      <c r="M314" s="15"/>
      <c r="N314" s="15"/>
      <c r="O314" s="15"/>
      <c r="P314" s="15"/>
      <c r="Q314" s="15"/>
      <c r="R314" s="16"/>
      <c r="S314" s="6"/>
      <c r="T314" s="6"/>
      <c r="U314" s="8" t="s">
        <v>97</v>
      </c>
      <c r="V314" s="219"/>
      <c r="W314" s="219"/>
      <c r="X314" s="219"/>
      <c r="Y314" s="219"/>
      <c r="Z314" s="219"/>
      <c r="AA314" s="219"/>
      <c r="AB314" s="219"/>
      <c r="AC314" s="219"/>
      <c r="AD314" s="219"/>
      <c r="AE314" s="219"/>
      <c r="AF314" s="219"/>
      <c r="AG314" s="219"/>
      <c r="AH314" s="219"/>
      <c r="AI314" s="220"/>
      <c r="AJ314" s="26"/>
    </row>
    <row r="315" spans="1:37" ht="15.75" customHeight="1" x14ac:dyDescent="0.3">
      <c r="A315" s="216" t="s">
        <v>173</v>
      </c>
      <c r="B315" s="13" t="s">
        <v>98</v>
      </c>
      <c r="C315" s="14">
        <v>0.85399999999999998</v>
      </c>
      <c r="D315" s="14">
        <v>0.60199999999999998</v>
      </c>
      <c r="E315" s="14">
        <v>1.323</v>
      </c>
      <c r="F315" s="14">
        <v>2.5030000000000001</v>
      </c>
      <c r="G315" s="14">
        <v>2.5640000000000001</v>
      </c>
      <c r="H315" s="14">
        <v>3.7610000000000001</v>
      </c>
      <c r="I315" s="14">
        <v>3.581</v>
      </c>
      <c r="J315" s="14">
        <v>2.5720000000000001</v>
      </c>
      <c r="K315" s="14">
        <v>1.298</v>
      </c>
      <c r="L315" s="14">
        <v>0.71799999999999997</v>
      </c>
      <c r="M315" s="14">
        <v>0.67700000000000005</v>
      </c>
      <c r="N315" s="14">
        <v>0.372</v>
      </c>
      <c r="O315" s="14"/>
      <c r="P315" s="15" t="s">
        <v>109</v>
      </c>
      <c r="Q315" s="16">
        <f t="shared" ref="Q315" si="449">COUNTIF(C315:N315, "&gt;0" )</f>
        <v>12</v>
      </c>
      <c r="S315" s="216" t="s">
        <v>173</v>
      </c>
      <c r="T315" s="216" t="s">
        <v>2</v>
      </c>
      <c r="U315" s="17" t="s">
        <v>98</v>
      </c>
      <c r="V315" s="18">
        <f t="shared" ref="V315:AH315" si="450">C315*C322</f>
        <v>0.42699999999999999</v>
      </c>
      <c r="W315" s="18">
        <f t="shared" si="450"/>
        <v>0.27691999999999994</v>
      </c>
      <c r="X315" s="18">
        <f t="shared" si="450"/>
        <v>0.66149999999999998</v>
      </c>
      <c r="Y315" s="18">
        <f t="shared" si="450"/>
        <v>1.1513800000000001</v>
      </c>
      <c r="Z315" s="18">
        <f t="shared" si="450"/>
        <v>1.4358400000000002</v>
      </c>
      <c r="AA315" s="18">
        <f t="shared" si="450"/>
        <v>1.8805000000000001</v>
      </c>
      <c r="AB315" s="18">
        <f t="shared" si="450"/>
        <v>1.5756399999999999</v>
      </c>
      <c r="AC315" s="18">
        <f t="shared" si="450"/>
        <v>1.286</v>
      </c>
      <c r="AD315" s="18">
        <f t="shared" si="450"/>
        <v>0.72688000000000008</v>
      </c>
      <c r="AE315" s="18">
        <f t="shared" si="450"/>
        <v>0.31591999999999998</v>
      </c>
      <c r="AF315" s="18">
        <f t="shared" si="450"/>
        <v>0.32496000000000003</v>
      </c>
      <c r="AG315" s="18">
        <f t="shared" si="450"/>
        <v>0.20088</v>
      </c>
      <c r="AH315" s="18">
        <f t="shared" si="450"/>
        <v>0</v>
      </c>
      <c r="AI315" s="18">
        <f t="shared" ref="AI315" si="451">R315*R322</f>
        <v>0</v>
      </c>
      <c r="AJ315" s="19">
        <f>SUM(V315:AI315)</f>
        <v>10.26342</v>
      </c>
      <c r="AK315" s="2">
        <v>10.26342</v>
      </c>
    </row>
    <row r="316" spans="1:37" ht="15.75" customHeight="1" x14ac:dyDescent="0.3">
      <c r="A316" s="217"/>
      <c r="B316" s="2" t="s">
        <v>110</v>
      </c>
      <c r="C316" s="15" t="s">
        <v>111</v>
      </c>
      <c r="D316" s="15" t="s">
        <v>111</v>
      </c>
      <c r="E316" s="15" t="s">
        <v>111</v>
      </c>
      <c r="F316" s="15" t="s">
        <v>112</v>
      </c>
      <c r="G316" s="15" t="s">
        <v>112</v>
      </c>
      <c r="H316" s="15" t="s">
        <v>112</v>
      </c>
      <c r="I316" s="15" t="s">
        <v>112</v>
      </c>
      <c r="J316" s="15" t="s">
        <v>112</v>
      </c>
      <c r="K316" s="15" t="s">
        <v>112</v>
      </c>
      <c r="L316" s="15" t="s">
        <v>111</v>
      </c>
      <c r="M316" s="15" t="s">
        <v>111</v>
      </c>
      <c r="N316" s="15" t="s">
        <v>111</v>
      </c>
      <c r="O316" s="15"/>
      <c r="P316" s="15" t="s">
        <v>105</v>
      </c>
      <c r="Q316" s="15">
        <f t="shared" ref="Q316" si="452">COUNTIF(C316:N316,"Cortex")</f>
        <v>6</v>
      </c>
      <c r="S316" s="217"/>
      <c r="T316" s="217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23"/>
    </row>
    <row r="317" spans="1:37" ht="15.75" customHeight="1" x14ac:dyDescent="0.3">
      <c r="A317" s="217"/>
      <c r="B317" s="2" t="s">
        <v>99</v>
      </c>
      <c r="C317" s="15">
        <v>10.986000000000001</v>
      </c>
      <c r="D317" s="15">
        <v>14.679</v>
      </c>
      <c r="E317" s="15">
        <v>17.003</v>
      </c>
      <c r="F317" s="15">
        <v>19.015000000000001</v>
      </c>
      <c r="G317" s="15">
        <v>21.463999999999999</v>
      </c>
      <c r="H317" s="15">
        <v>22.936</v>
      </c>
      <c r="I317" s="15">
        <v>24.844999999999999</v>
      </c>
      <c r="J317" s="15">
        <v>26.081</v>
      </c>
      <c r="K317" s="15">
        <v>26.923999999999999</v>
      </c>
      <c r="L317" s="15">
        <v>27.395</v>
      </c>
      <c r="M317" s="15">
        <v>26.228000000000002</v>
      </c>
      <c r="N317" s="15">
        <v>24.478000000000002</v>
      </c>
      <c r="O317" s="15"/>
      <c r="P317" s="15" t="s">
        <v>106</v>
      </c>
      <c r="Q317" s="15">
        <f t="shared" ref="Q317" si="453">Q315-Q316</f>
        <v>6</v>
      </c>
      <c r="S317" s="217"/>
      <c r="T317" s="217"/>
      <c r="U317" s="8" t="s">
        <v>99</v>
      </c>
      <c r="V317" s="15">
        <f t="shared" ref="V317:AH317" si="454">C317*C322</f>
        <v>5.4930000000000003</v>
      </c>
      <c r="W317" s="15">
        <f t="shared" si="454"/>
        <v>6.7523399999999993</v>
      </c>
      <c r="X317" s="15">
        <f t="shared" si="454"/>
        <v>8.5015000000000001</v>
      </c>
      <c r="Y317" s="15">
        <f t="shared" si="454"/>
        <v>8.7469000000000001</v>
      </c>
      <c r="Z317" s="15">
        <f t="shared" si="454"/>
        <v>12.01984</v>
      </c>
      <c r="AA317" s="15">
        <f t="shared" si="454"/>
        <v>11.468</v>
      </c>
      <c r="AB317" s="15">
        <f t="shared" si="454"/>
        <v>10.931799999999999</v>
      </c>
      <c r="AC317" s="15">
        <f t="shared" si="454"/>
        <v>13.0405</v>
      </c>
      <c r="AD317" s="15">
        <f t="shared" si="454"/>
        <v>15.077440000000001</v>
      </c>
      <c r="AE317" s="15">
        <f t="shared" si="454"/>
        <v>12.053800000000001</v>
      </c>
      <c r="AF317" s="15">
        <f t="shared" si="454"/>
        <v>12.58944</v>
      </c>
      <c r="AG317" s="15">
        <f t="shared" si="454"/>
        <v>13.218120000000003</v>
      </c>
      <c r="AH317" s="15">
        <f t="shared" si="454"/>
        <v>0</v>
      </c>
      <c r="AI317" s="15">
        <f t="shared" ref="AI317" si="455">R317*R322</f>
        <v>0</v>
      </c>
      <c r="AJ317" s="23">
        <f>SUM(V317:AI317)</f>
        <v>129.89267999999998</v>
      </c>
      <c r="AK317" s="2">
        <v>129.89267999999998</v>
      </c>
    </row>
    <row r="318" spans="1:37" ht="15.75" customHeight="1" x14ac:dyDescent="0.3">
      <c r="A318" s="217"/>
      <c r="B318" s="2" t="s">
        <v>100</v>
      </c>
      <c r="C318" s="15">
        <v>9.9499999999999993</v>
      </c>
      <c r="D318" s="15">
        <v>12.769</v>
      </c>
      <c r="E318" s="15">
        <v>15.068</v>
      </c>
      <c r="F318" s="15">
        <v>17.773</v>
      </c>
      <c r="G318" s="15">
        <v>20.239999999999998</v>
      </c>
      <c r="H318" s="15">
        <v>22.526</v>
      </c>
      <c r="I318" s="15">
        <v>25.099</v>
      </c>
      <c r="J318" s="15">
        <v>26.184000000000001</v>
      </c>
      <c r="K318" s="15">
        <v>27.260999999999999</v>
      </c>
      <c r="L318" s="15">
        <v>26.696999999999999</v>
      </c>
      <c r="M318" s="15">
        <v>26.713000000000001</v>
      </c>
      <c r="N318" s="15">
        <v>24.9</v>
      </c>
      <c r="O318" s="15"/>
      <c r="P318" s="15" t="s">
        <v>113</v>
      </c>
      <c r="Q318" s="16">
        <f t="shared" ref="Q318" si="456">COUNTIF(C315:O315, "&gt;=0" )</f>
        <v>12</v>
      </c>
      <c r="S318" s="217"/>
      <c r="T318" s="217"/>
      <c r="U318" s="8" t="s">
        <v>100</v>
      </c>
      <c r="V318" s="15">
        <f t="shared" ref="V318:AH318" si="457">C318*C322</f>
        <v>4.9749999999999996</v>
      </c>
      <c r="W318" s="15">
        <f t="shared" si="457"/>
        <v>5.8737399999999997</v>
      </c>
      <c r="X318" s="15">
        <f t="shared" si="457"/>
        <v>7.5339999999999998</v>
      </c>
      <c r="Y318" s="15">
        <f t="shared" si="457"/>
        <v>8.1755800000000001</v>
      </c>
      <c r="Z318" s="15">
        <f t="shared" si="457"/>
        <v>11.3344</v>
      </c>
      <c r="AA318" s="15">
        <f t="shared" si="457"/>
        <v>11.263</v>
      </c>
      <c r="AB318" s="15">
        <f t="shared" si="457"/>
        <v>11.043559999999999</v>
      </c>
      <c r="AC318" s="15">
        <f t="shared" si="457"/>
        <v>13.092000000000001</v>
      </c>
      <c r="AD318" s="15">
        <f t="shared" si="457"/>
        <v>15.266160000000001</v>
      </c>
      <c r="AE318" s="15">
        <f t="shared" si="457"/>
        <v>11.74668</v>
      </c>
      <c r="AF318" s="15">
        <f t="shared" si="457"/>
        <v>12.822240000000001</v>
      </c>
      <c r="AG318" s="15">
        <f t="shared" si="457"/>
        <v>13.446</v>
      </c>
      <c r="AH318" s="15">
        <f t="shared" si="457"/>
        <v>0</v>
      </c>
      <c r="AI318" s="15">
        <f t="shared" ref="AI318" si="458">R318*R322</f>
        <v>0</v>
      </c>
      <c r="AJ318" s="23">
        <f>SUM(V318:AI318)</f>
        <v>126.57236</v>
      </c>
      <c r="AK318" s="2">
        <v>126.57236</v>
      </c>
    </row>
    <row r="319" spans="1:37" x14ac:dyDescent="0.3">
      <c r="A319" s="6"/>
      <c r="B319" s="2" t="s">
        <v>114</v>
      </c>
      <c r="C319" s="15">
        <v>9.0960000000000001</v>
      </c>
      <c r="D319" s="15">
        <v>12.167</v>
      </c>
      <c r="E319" s="15">
        <v>13.744999999999999</v>
      </c>
      <c r="F319" s="15">
        <v>15.27</v>
      </c>
      <c r="G319" s="15">
        <v>17.675999999999998</v>
      </c>
      <c r="H319" s="15">
        <v>18.765000000000001</v>
      </c>
      <c r="I319" s="15">
        <v>21.518000000000001</v>
      </c>
      <c r="J319" s="15">
        <v>23.612000000000002</v>
      </c>
      <c r="K319" s="15">
        <v>25.963000000000001</v>
      </c>
      <c r="L319" s="15">
        <v>25.978999999999999</v>
      </c>
      <c r="M319" s="15">
        <v>26.036000000000001</v>
      </c>
      <c r="N319" s="15">
        <v>24.527999999999999</v>
      </c>
      <c r="O319" s="15"/>
      <c r="P319" s="15"/>
      <c r="Q319" s="15"/>
      <c r="S319" s="6"/>
      <c r="T319" s="6"/>
      <c r="U319" s="8" t="s">
        <v>101</v>
      </c>
      <c r="V319" s="15">
        <f t="shared" ref="V319:AH319" si="459">C319*C322</f>
        <v>4.548</v>
      </c>
      <c r="W319" s="15">
        <f t="shared" si="459"/>
        <v>5.5968199999999992</v>
      </c>
      <c r="X319" s="15">
        <f t="shared" si="459"/>
        <v>6.8724999999999996</v>
      </c>
      <c r="Y319" s="15">
        <f t="shared" si="459"/>
        <v>7.0242000000000004</v>
      </c>
      <c r="Z319" s="15">
        <f t="shared" si="459"/>
        <v>9.8985599999999998</v>
      </c>
      <c r="AA319" s="15">
        <f t="shared" si="459"/>
        <v>9.3825000000000003</v>
      </c>
      <c r="AB319" s="15">
        <f t="shared" si="459"/>
        <v>9.4679200000000012</v>
      </c>
      <c r="AC319" s="15">
        <f t="shared" si="459"/>
        <v>11.806000000000001</v>
      </c>
      <c r="AD319" s="15">
        <f t="shared" si="459"/>
        <v>14.539280000000002</v>
      </c>
      <c r="AE319" s="15">
        <f t="shared" si="459"/>
        <v>11.430759999999999</v>
      </c>
      <c r="AF319" s="15">
        <f t="shared" si="459"/>
        <v>12.49728</v>
      </c>
      <c r="AG319" s="15">
        <f t="shared" si="459"/>
        <v>13.24512</v>
      </c>
      <c r="AH319" s="15">
        <f t="shared" si="459"/>
        <v>0</v>
      </c>
      <c r="AI319" s="15">
        <f t="shared" ref="AI319" si="460">R319*R322</f>
        <v>0</v>
      </c>
      <c r="AJ319" s="23">
        <f>SUM(V319:AI319)</f>
        <v>116.30894000000001</v>
      </c>
      <c r="AK319" s="2">
        <v>116.30894000000001</v>
      </c>
    </row>
    <row r="320" spans="1:37" x14ac:dyDescent="0.3">
      <c r="A320" s="6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S320" s="6"/>
      <c r="T320" s="6"/>
      <c r="U320" s="24" t="s">
        <v>115</v>
      </c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19">
        <f>(AJ317-AJ318)/AJ317*100</f>
        <v>2.5562025512138034</v>
      </c>
      <c r="AK320" s="2">
        <v>2.5562025512138034</v>
      </c>
    </row>
    <row r="321" spans="1:37" x14ac:dyDescent="0.3">
      <c r="A321" s="6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S321" s="6"/>
      <c r="T321" s="6"/>
      <c r="U321" s="24" t="s">
        <v>103</v>
      </c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19">
        <f>AJ317-AJ319</f>
        <v>13.583739999999977</v>
      </c>
      <c r="AK321" s="2">
        <v>13.583739999999977</v>
      </c>
    </row>
    <row r="322" spans="1:37" ht="16.2" thickBot="1" x14ac:dyDescent="0.35">
      <c r="A322" s="6"/>
      <c r="B322" s="2" t="s">
        <v>32</v>
      </c>
      <c r="C322" s="15">
        <v>0.5</v>
      </c>
      <c r="D322" s="15">
        <v>0.45999999999999996</v>
      </c>
      <c r="E322" s="15">
        <v>0.5</v>
      </c>
      <c r="F322" s="15">
        <v>0.46</v>
      </c>
      <c r="G322" s="15">
        <v>0.56000000000000005</v>
      </c>
      <c r="H322" s="15">
        <v>0.5</v>
      </c>
      <c r="I322" s="15">
        <v>0.44</v>
      </c>
      <c r="J322" s="15">
        <v>0.5</v>
      </c>
      <c r="K322" s="15">
        <v>0.56000000000000005</v>
      </c>
      <c r="L322" s="15">
        <v>0.44</v>
      </c>
      <c r="M322" s="15">
        <v>0.48</v>
      </c>
      <c r="N322" s="15">
        <v>0.54</v>
      </c>
      <c r="O322" s="15"/>
      <c r="P322" s="15"/>
      <c r="Q322" s="15"/>
      <c r="R322" s="16"/>
      <c r="S322" s="6"/>
      <c r="T322" s="6"/>
      <c r="U322" s="8" t="s">
        <v>97</v>
      </c>
      <c r="V322" s="219"/>
      <c r="W322" s="219"/>
      <c r="X322" s="219"/>
      <c r="Y322" s="219"/>
      <c r="Z322" s="219"/>
      <c r="AA322" s="219"/>
      <c r="AB322" s="219"/>
      <c r="AC322" s="219"/>
      <c r="AD322" s="219"/>
      <c r="AE322" s="219"/>
      <c r="AF322" s="219"/>
      <c r="AG322" s="219"/>
      <c r="AH322" s="219"/>
      <c r="AI322" s="220"/>
      <c r="AJ322" s="26"/>
    </row>
    <row r="323" spans="1:37" ht="15.75" customHeight="1" x14ac:dyDescent="0.3">
      <c r="A323" s="216" t="s">
        <v>174</v>
      </c>
      <c r="B323" s="13" t="s">
        <v>98</v>
      </c>
      <c r="C323" s="14">
        <v>0</v>
      </c>
      <c r="D323" s="14">
        <v>0.16800000000000001</v>
      </c>
      <c r="E323" s="14">
        <v>0.78500000000000003</v>
      </c>
      <c r="F323" s="14">
        <v>2.0920000000000001</v>
      </c>
      <c r="G323" s="14">
        <v>2.871</v>
      </c>
      <c r="H323" s="14">
        <v>2.8639999999999999</v>
      </c>
      <c r="I323" s="14">
        <v>2.8559999999999999</v>
      </c>
      <c r="J323" s="14">
        <v>2.37</v>
      </c>
      <c r="K323" s="14">
        <v>0.51</v>
      </c>
      <c r="L323" s="14">
        <v>0.35499999999999998</v>
      </c>
      <c r="M323" s="14">
        <v>0.434</v>
      </c>
      <c r="N323" s="14"/>
      <c r="O323" s="14"/>
      <c r="P323" s="15" t="s">
        <v>109</v>
      </c>
      <c r="Q323" s="16">
        <f t="shared" ref="Q323" si="461">COUNTIF(C323:N323, "&gt;0" )</f>
        <v>10</v>
      </c>
      <c r="S323" s="216" t="s">
        <v>174</v>
      </c>
      <c r="T323" s="216" t="s">
        <v>2</v>
      </c>
      <c r="U323" s="17" t="s">
        <v>98</v>
      </c>
      <c r="V323" s="18">
        <f t="shared" ref="V323:AH323" si="462">C323*C330</f>
        <v>0</v>
      </c>
      <c r="W323" s="18">
        <f t="shared" si="462"/>
        <v>9.4080000000000011E-2</v>
      </c>
      <c r="X323" s="18">
        <f t="shared" si="462"/>
        <v>0.34540000000000004</v>
      </c>
      <c r="Y323" s="18">
        <f t="shared" si="462"/>
        <v>1.0878400000000001</v>
      </c>
      <c r="Z323" s="18">
        <f t="shared" si="462"/>
        <v>1.49292</v>
      </c>
      <c r="AA323" s="18">
        <f t="shared" si="462"/>
        <v>1.3174399999999999</v>
      </c>
      <c r="AB323" s="18">
        <f t="shared" si="462"/>
        <v>1.48512</v>
      </c>
      <c r="AC323" s="18">
        <f t="shared" si="462"/>
        <v>1.3746</v>
      </c>
      <c r="AD323" s="18">
        <f t="shared" si="462"/>
        <v>0.22440000000000002</v>
      </c>
      <c r="AE323" s="18">
        <f t="shared" si="462"/>
        <v>0.1704</v>
      </c>
      <c r="AF323" s="18">
        <f t="shared" si="462"/>
        <v>0.217</v>
      </c>
      <c r="AG323" s="18">
        <f t="shared" si="462"/>
        <v>0</v>
      </c>
      <c r="AH323" s="18">
        <f t="shared" si="462"/>
        <v>0</v>
      </c>
      <c r="AI323" s="18">
        <f t="shared" ref="AI323" si="463">R323*R330</f>
        <v>0</v>
      </c>
      <c r="AJ323" s="19">
        <f>SUM(V323:AI323)</f>
        <v>7.8092000000000006</v>
      </c>
      <c r="AK323" s="2">
        <v>7.8092000000000006</v>
      </c>
    </row>
    <row r="324" spans="1:37" ht="15.75" customHeight="1" x14ac:dyDescent="0.3">
      <c r="A324" s="217"/>
      <c r="B324" s="2" t="s">
        <v>110</v>
      </c>
      <c r="C324" s="15"/>
      <c r="D324" s="15" t="s">
        <v>111</v>
      </c>
      <c r="E324" s="15" t="s">
        <v>111</v>
      </c>
      <c r="F324" s="15" t="s">
        <v>111</v>
      </c>
      <c r="G324" s="15" t="s">
        <v>111</v>
      </c>
      <c r="H324" s="15" t="s">
        <v>111</v>
      </c>
      <c r="I324" s="15" t="s">
        <v>111</v>
      </c>
      <c r="J324" s="15" t="s">
        <v>111</v>
      </c>
      <c r="K324" s="15" t="s">
        <v>111</v>
      </c>
      <c r="L324" s="15" t="s">
        <v>111</v>
      </c>
      <c r="M324" s="15" t="s">
        <v>111</v>
      </c>
      <c r="N324" s="15"/>
      <c r="O324" s="15"/>
      <c r="P324" s="15" t="s">
        <v>105</v>
      </c>
      <c r="Q324" s="15">
        <f t="shared" ref="Q324" si="464">COUNTIF(C324:N324,"Cortex")</f>
        <v>10</v>
      </c>
      <c r="S324" s="217"/>
      <c r="T324" s="217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23"/>
    </row>
    <row r="325" spans="1:37" ht="15.75" customHeight="1" x14ac:dyDescent="0.3">
      <c r="A325" s="217"/>
      <c r="B325" s="2" t="s">
        <v>99</v>
      </c>
      <c r="C325" s="15">
        <v>12.254</v>
      </c>
      <c r="D325" s="15">
        <v>14.739000000000001</v>
      </c>
      <c r="E325" s="15">
        <v>17.527999999999999</v>
      </c>
      <c r="F325" s="15">
        <v>19.552</v>
      </c>
      <c r="G325" s="15">
        <v>22.306999999999999</v>
      </c>
      <c r="H325" s="15">
        <v>24.233000000000001</v>
      </c>
      <c r="I325" s="15">
        <v>24.084</v>
      </c>
      <c r="J325" s="15">
        <v>26.216999999999999</v>
      </c>
      <c r="K325" s="15">
        <v>26.687000000000001</v>
      </c>
      <c r="L325" s="15">
        <v>26.084</v>
      </c>
      <c r="M325" s="15">
        <v>25.052</v>
      </c>
      <c r="N325" s="15"/>
      <c r="O325" s="15"/>
      <c r="P325" s="15" t="s">
        <v>106</v>
      </c>
      <c r="Q325" s="15">
        <f t="shared" ref="Q325" si="465">Q323-Q324</f>
        <v>0</v>
      </c>
      <c r="S325" s="217"/>
      <c r="T325" s="217"/>
      <c r="U325" s="8" t="s">
        <v>99</v>
      </c>
      <c r="V325" s="15">
        <f t="shared" ref="V325:AH325" si="466">C325*C330</f>
        <v>6.1269999999999998</v>
      </c>
      <c r="W325" s="15">
        <f t="shared" si="466"/>
        <v>8.2538400000000021</v>
      </c>
      <c r="X325" s="15">
        <f t="shared" si="466"/>
        <v>7.7123199999999992</v>
      </c>
      <c r="Y325" s="15">
        <f t="shared" si="466"/>
        <v>10.16704</v>
      </c>
      <c r="Z325" s="15">
        <f t="shared" si="466"/>
        <v>11.599639999999999</v>
      </c>
      <c r="AA325" s="15">
        <f t="shared" si="466"/>
        <v>11.147180000000001</v>
      </c>
      <c r="AB325" s="15">
        <f t="shared" si="466"/>
        <v>12.523680000000001</v>
      </c>
      <c r="AC325" s="15">
        <f t="shared" si="466"/>
        <v>15.205859999999998</v>
      </c>
      <c r="AD325" s="15">
        <f t="shared" si="466"/>
        <v>11.742280000000001</v>
      </c>
      <c r="AE325" s="15">
        <f t="shared" si="466"/>
        <v>12.52032</v>
      </c>
      <c r="AF325" s="15">
        <f t="shared" si="466"/>
        <v>12.526</v>
      </c>
      <c r="AG325" s="15">
        <f t="shared" si="466"/>
        <v>0</v>
      </c>
      <c r="AH325" s="15">
        <f t="shared" si="466"/>
        <v>0</v>
      </c>
      <c r="AI325" s="15">
        <f t="shared" ref="AI325" si="467">R325*R330</f>
        <v>0</v>
      </c>
      <c r="AJ325" s="23">
        <f>SUM(V325:AI325)</f>
        <v>119.52515999999999</v>
      </c>
      <c r="AK325" s="2">
        <v>119.52515999999999</v>
      </c>
    </row>
    <row r="326" spans="1:37" ht="15.75" customHeight="1" x14ac:dyDescent="0.3">
      <c r="A326" s="217"/>
      <c r="B326" s="2" t="s">
        <v>100</v>
      </c>
      <c r="C326" s="15">
        <v>10.731999999999999</v>
      </c>
      <c r="D326" s="15">
        <v>12.974</v>
      </c>
      <c r="E326" s="15">
        <v>16.808</v>
      </c>
      <c r="F326" s="15">
        <v>18.975999999999999</v>
      </c>
      <c r="G326" s="15">
        <v>20.308</v>
      </c>
      <c r="H326" s="15">
        <v>22.27</v>
      </c>
      <c r="I326" s="15">
        <v>23.728000000000002</v>
      </c>
      <c r="J326" s="15">
        <v>25.039000000000001</v>
      </c>
      <c r="K326" s="15">
        <v>26.175999999999998</v>
      </c>
      <c r="L326" s="15">
        <v>26.751999999999999</v>
      </c>
      <c r="M326" s="15">
        <v>25.400000000000002</v>
      </c>
      <c r="N326" s="15"/>
      <c r="O326" s="15"/>
      <c r="P326" s="15" t="s">
        <v>113</v>
      </c>
      <c r="Q326" s="16">
        <f t="shared" ref="Q326" si="468">COUNTIF(C323:O323, "&gt;=0" )</f>
        <v>11</v>
      </c>
      <c r="S326" s="217"/>
      <c r="T326" s="217"/>
      <c r="U326" s="8" t="s">
        <v>100</v>
      </c>
      <c r="V326" s="15">
        <f t="shared" ref="V326:AH326" si="469">C326*C330</f>
        <v>5.3659999999999997</v>
      </c>
      <c r="W326" s="15">
        <f t="shared" si="469"/>
        <v>7.2654400000000008</v>
      </c>
      <c r="X326" s="15">
        <f t="shared" si="469"/>
        <v>7.3955200000000003</v>
      </c>
      <c r="Y326" s="15">
        <f t="shared" si="469"/>
        <v>9.8675200000000007</v>
      </c>
      <c r="Z326" s="15">
        <f t="shared" si="469"/>
        <v>10.56016</v>
      </c>
      <c r="AA326" s="15">
        <f t="shared" si="469"/>
        <v>10.244200000000001</v>
      </c>
      <c r="AB326" s="15">
        <f t="shared" si="469"/>
        <v>12.338560000000001</v>
      </c>
      <c r="AC326" s="15">
        <f t="shared" si="469"/>
        <v>14.52262</v>
      </c>
      <c r="AD326" s="15">
        <f t="shared" si="469"/>
        <v>11.517439999999999</v>
      </c>
      <c r="AE326" s="15">
        <f t="shared" si="469"/>
        <v>12.840959999999999</v>
      </c>
      <c r="AF326" s="15">
        <f t="shared" si="469"/>
        <v>12.700000000000001</v>
      </c>
      <c r="AG326" s="15">
        <f t="shared" si="469"/>
        <v>0</v>
      </c>
      <c r="AH326" s="15">
        <f t="shared" si="469"/>
        <v>0</v>
      </c>
      <c r="AI326" s="15">
        <f t="shared" ref="AI326" si="470">R326*R330</f>
        <v>0</v>
      </c>
      <c r="AJ326" s="23">
        <f>SUM(V326:AI326)</f>
        <v>114.61841999999999</v>
      </c>
      <c r="AK326" s="2">
        <v>114.61841999999999</v>
      </c>
    </row>
    <row r="327" spans="1:37" x14ac:dyDescent="0.3">
      <c r="A327" s="6"/>
      <c r="B327" s="2" t="s">
        <v>114</v>
      </c>
      <c r="C327" s="15">
        <v>10.731999999999999</v>
      </c>
      <c r="D327" s="15">
        <v>12.806000000000001</v>
      </c>
      <c r="E327" s="15">
        <v>16.023</v>
      </c>
      <c r="F327" s="15">
        <v>16.884</v>
      </c>
      <c r="G327" s="15">
        <v>17.437000000000001</v>
      </c>
      <c r="H327" s="15">
        <v>19.405999999999999</v>
      </c>
      <c r="I327" s="15">
        <v>20.872</v>
      </c>
      <c r="J327" s="15">
        <v>22.669</v>
      </c>
      <c r="K327" s="15">
        <v>25.665999999999997</v>
      </c>
      <c r="L327" s="15">
        <v>26.396999999999998</v>
      </c>
      <c r="M327" s="15">
        <v>24.966000000000001</v>
      </c>
      <c r="N327" s="15"/>
      <c r="O327" s="15"/>
      <c r="P327" s="15"/>
      <c r="Q327" s="15"/>
      <c r="S327" s="6"/>
      <c r="T327" s="6"/>
      <c r="U327" s="8" t="s">
        <v>101</v>
      </c>
      <c r="V327" s="15">
        <f t="shared" ref="V327:AH327" si="471">C327*C330</f>
        <v>5.3659999999999997</v>
      </c>
      <c r="W327" s="15">
        <f t="shared" si="471"/>
        <v>7.1713600000000008</v>
      </c>
      <c r="X327" s="15">
        <f t="shared" si="471"/>
        <v>7.0501199999999997</v>
      </c>
      <c r="Y327" s="15">
        <f t="shared" si="471"/>
        <v>8.7796800000000008</v>
      </c>
      <c r="Z327" s="15">
        <f t="shared" si="471"/>
        <v>9.0672400000000017</v>
      </c>
      <c r="AA327" s="15">
        <f t="shared" si="471"/>
        <v>8.9267599999999998</v>
      </c>
      <c r="AB327" s="15">
        <f t="shared" si="471"/>
        <v>10.853440000000001</v>
      </c>
      <c r="AC327" s="15">
        <f t="shared" si="471"/>
        <v>13.148019999999999</v>
      </c>
      <c r="AD327" s="15">
        <f t="shared" si="471"/>
        <v>11.29304</v>
      </c>
      <c r="AE327" s="15">
        <f t="shared" si="471"/>
        <v>12.670559999999998</v>
      </c>
      <c r="AF327" s="15">
        <f t="shared" si="471"/>
        <v>12.483000000000001</v>
      </c>
      <c r="AG327" s="15">
        <f t="shared" si="471"/>
        <v>0</v>
      </c>
      <c r="AH327" s="15">
        <f t="shared" si="471"/>
        <v>0</v>
      </c>
      <c r="AI327" s="15">
        <f t="shared" ref="AI327" si="472">R327*R330</f>
        <v>0</v>
      </c>
      <c r="AJ327" s="23">
        <f>SUM(V327:AI327)</f>
        <v>106.80922</v>
      </c>
      <c r="AK327" s="2">
        <v>106.80922</v>
      </c>
    </row>
    <row r="328" spans="1:37" x14ac:dyDescent="0.3">
      <c r="A328" s="6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S328" s="6"/>
      <c r="T328" s="6"/>
      <c r="U328" s="24" t="s">
        <v>115</v>
      </c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19">
        <f>(AJ325-AJ326)/AJ325*100</f>
        <v>4.1051942536617387</v>
      </c>
      <c r="AK328" s="2">
        <v>4.1051942536617387</v>
      </c>
    </row>
    <row r="329" spans="1:37" x14ac:dyDescent="0.3">
      <c r="A329" s="6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S329" s="6"/>
      <c r="T329" s="6"/>
      <c r="U329" s="24" t="s">
        <v>103</v>
      </c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19">
        <f>AJ325-AJ327</f>
        <v>12.715939999999989</v>
      </c>
      <c r="AK329" s="2">
        <v>12.715939999999989</v>
      </c>
    </row>
    <row r="330" spans="1:37" ht="16.2" thickBot="1" x14ac:dyDescent="0.35">
      <c r="A330" s="6"/>
      <c r="B330" s="2" t="s">
        <v>32</v>
      </c>
      <c r="C330" s="15">
        <v>0.5</v>
      </c>
      <c r="D330" s="15">
        <v>0.56000000000000005</v>
      </c>
      <c r="E330" s="15">
        <v>0.44</v>
      </c>
      <c r="F330" s="15">
        <v>0.52</v>
      </c>
      <c r="G330" s="15">
        <v>0.52</v>
      </c>
      <c r="H330" s="15">
        <v>0.46</v>
      </c>
      <c r="I330" s="15">
        <v>0.52</v>
      </c>
      <c r="J330" s="15">
        <v>0.57999999999999996</v>
      </c>
      <c r="K330" s="15">
        <v>0.44</v>
      </c>
      <c r="L330" s="15">
        <v>0.48</v>
      </c>
      <c r="M330" s="15">
        <v>0.5</v>
      </c>
      <c r="N330" s="15"/>
      <c r="O330" s="15"/>
      <c r="P330" s="15"/>
      <c r="Q330" s="15"/>
      <c r="R330" s="16"/>
      <c r="S330" s="6"/>
      <c r="T330" s="6"/>
      <c r="U330" s="8" t="s">
        <v>97</v>
      </c>
      <c r="V330" s="219"/>
      <c r="W330" s="219"/>
      <c r="X330" s="219"/>
      <c r="Y330" s="219"/>
      <c r="Z330" s="219"/>
      <c r="AA330" s="219"/>
      <c r="AB330" s="219"/>
      <c r="AC330" s="219"/>
      <c r="AD330" s="219"/>
      <c r="AE330" s="219"/>
      <c r="AF330" s="219"/>
      <c r="AG330" s="219"/>
      <c r="AH330" s="219"/>
      <c r="AI330" s="220"/>
      <c r="AJ330" s="26"/>
    </row>
    <row r="331" spans="1:37" ht="15.75" customHeight="1" x14ac:dyDescent="0.3">
      <c r="A331" s="216" t="s">
        <v>175</v>
      </c>
      <c r="B331" s="13" t="s">
        <v>98</v>
      </c>
      <c r="C331" s="14">
        <v>0.25</v>
      </c>
      <c r="D331" s="14">
        <v>1.43</v>
      </c>
      <c r="E331" s="14">
        <v>3.7959999999999998</v>
      </c>
      <c r="F331" s="14">
        <v>4.3390000000000004</v>
      </c>
      <c r="G331" s="14">
        <v>4.2089999999999996</v>
      </c>
      <c r="H331" s="14">
        <v>4.7629999999999999</v>
      </c>
      <c r="I331" s="14">
        <v>4.0339999999999998</v>
      </c>
      <c r="J331" s="14">
        <v>2.8679999999999999</v>
      </c>
      <c r="K331" s="14">
        <v>1.071</v>
      </c>
      <c r="L331" s="14">
        <v>0.72799999999999998</v>
      </c>
      <c r="M331" s="14">
        <v>0</v>
      </c>
      <c r="N331" s="14"/>
      <c r="O331" s="14"/>
      <c r="P331" s="15" t="s">
        <v>109</v>
      </c>
      <c r="Q331" s="16">
        <f t="shared" ref="Q331" si="473">COUNTIF(C331:N331, "&gt;0" )</f>
        <v>10</v>
      </c>
      <c r="S331" s="216" t="s">
        <v>175</v>
      </c>
      <c r="T331" s="216" t="s">
        <v>2</v>
      </c>
      <c r="U331" s="17" t="s">
        <v>98</v>
      </c>
      <c r="V331" s="18">
        <f t="shared" ref="V331:AH331" si="474">C331*C338</f>
        <v>0.125</v>
      </c>
      <c r="W331" s="18">
        <f t="shared" si="474"/>
        <v>0.71499999999999997</v>
      </c>
      <c r="X331" s="18">
        <f t="shared" si="474"/>
        <v>1.8979999999999999</v>
      </c>
      <c r="Y331" s="18">
        <f t="shared" si="474"/>
        <v>2.1695000000000002</v>
      </c>
      <c r="Z331" s="18">
        <f t="shared" si="474"/>
        <v>2.1044999999999998</v>
      </c>
      <c r="AA331" s="18">
        <f t="shared" si="474"/>
        <v>2.4767600000000001</v>
      </c>
      <c r="AB331" s="18">
        <f t="shared" si="474"/>
        <v>1.9363199999999998</v>
      </c>
      <c r="AC331" s="18">
        <f t="shared" si="474"/>
        <v>1.4339999999999999</v>
      </c>
      <c r="AD331" s="18">
        <f t="shared" si="474"/>
        <v>0.57833999999999997</v>
      </c>
      <c r="AE331" s="18">
        <f t="shared" si="474"/>
        <v>0.33488000000000001</v>
      </c>
      <c r="AF331" s="18">
        <f t="shared" si="474"/>
        <v>0</v>
      </c>
      <c r="AG331" s="18">
        <f t="shared" si="474"/>
        <v>0</v>
      </c>
      <c r="AH331" s="18">
        <f t="shared" si="474"/>
        <v>0</v>
      </c>
      <c r="AI331" s="18">
        <f t="shared" ref="AI331" si="475">R331*R338</f>
        <v>0</v>
      </c>
      <c r="AJ331" s="19">
        <f>SUM(V331:AI331)</f>
        <v>13.772300000000001</v>
      </c>
      <c r="AK331" s="2">
        <v>13.772300000000001</v>
      </c>
    </row>
    <row r="332" spans="1:37" ht="15.75" customHeight="1" x14ac:dyDescent="0.3">
      <c r="A332" s="217"/>
      <c r="B332" s="2" t="s">
        <v>110</v>
      </c>
      <c r="C332" s="15" t="s">
        <v>111</v>
      </c>
      <c r="D332" s="15" t="s">
        <v>111</v>
      </c>
      <c r="E332" s="15" t="s">
        <v>112</v>
      </c>
      <c r="F332" s="15" t="s">
        <v>112</v>
      </c>
      <c r="G332" s="15" t="s">
        <v>112</v>
      </c>
      <c r="H332" s="15" t="s">
        <v>112</v>
      </c>
      <c r="I332" s="15" t="s">
        <v>112</v>
      </c>
      <c r="J332" s="15" t="s">
        <v>111</v>
      </c>
      <c r="K332" s="15" t="s">
        <v>111</v>
      </c>
      <c r="L332" s="15" t="s">
        <v>111</v>
      </c>
      <c r="M332" s="15"/>
      <c r="N332" s="15"/>
      <c r="O332" s="15"/>
      <c r="P332" s="15" t="s">
        <v>105</v>
      </c>
      <c r="Q332" s="15">
        <f t="shared" ref="Q332" si="476">COUNTIF(C332:N332,"Cortex")</f>
        <v>5</v>
      </c>
      <c r="S332" s="217"/>
      <c r="T332" s="217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23"/>
    </row>
    <row r="333" spans="1:37" ht="15.75" customHeight="1" x14ac:dyDescent="0.3">
      <c r="A333" s="217"/>
      <c r="B333" s="2" t="s">
        <v>99</v>
      </c>
      <c r="C333" s="15">
        <v>9.718</v>
      </c>
      <c r="D333" s="15">
        <v>12.855</v>
      </c>
      <c r="E333" s="15">
        <v>16.344000000000001</v>
      </c>
      <c r="F333" s="15">
        <v>19.212</v>
      </c>
      <c r="G333" s="15">
        <v>21.600999999999999</v>
      </c>
      <c r="H333" s="15">
        <v>22.46</v>
      </c>
      <c r="I333" s="15">
        <v>24.526</v>
      </c>
      <c r="J333" s="15">
        <v>26.337</v>
      </c>
      <c r="K333" s="15">
        <v>25.847000000000001</v>
      </c>
      <c r="L333" s="15">
        <v>25.790000000000003</v>
      </c>
      <c r="M333" s="15">
        <v>25.37</v>
      </c>
      <c r="N333" s="15"/>
      <c r="O333" s="15"/>
      <c r="P333" s="15" t="s">
        <v>106</v>
      </c>
      <c r="Q333" s="15">
        <f t="shared" ref="Q333" si="477">Q331-Q332</f>
        <v>5</v>
      </c>
      <c r="S333" s="217"/>
      <c r="T333" s="217"/>
      <c r="U333" s="8" t="s">
        <v>99</v>
      </c>
      <c r="V333" s="15">
        <f t="shared" ref="V333:AH333" si="478">C333*C338</f>
        <v>4.859</v>
      </c>
      <c r="W333" s="15">
        <f t="shared" si="478"/>
        <v>6.4275000000000002</v>
      </c>
      <c r="X333" s="15">
        <f t="shared" si="478"/>
        <v>8.1720000000000006</v>
      </c>
      <c r="Y333" s="15">
        <f t="shared" si="478"/>
        <v>9.6059999999999999</v>
      </c>
      <c r="Z333" s="15">
        <f t="shared" si="478"/>
        <v>10.8005</v>
      </c>
      <c r="AA333" s="15">
        <f t="shared" si="478"/>
        <v>11.679200000000002</v>
      </c>
      <c r="AB333" s="15">
        <f t="shared" si="478"/>
        <v>11.77248</v>
      </c>
      <c r="AC333" s="15">
        <f t="shared" si="478"/>
        <v>13.1685</v>
      </c>
      <c r="AD333" s="15">
        <f t="shared" si="478"/>
        <v>13.957380000000002</v>
      </c>
      <c r="AE333" s="15">
        <f t="shared" si="478"/>
        <v>11.863400000000002</v>
      </c>
      <c r="AF333" s="15">
        <f t="shared" si="478"/>
        <v>12.685</v>
      </c>
      <c r="AG333" s="15">
        <f t="shared" si="478"/>
        <v>0</v>
      </c>
      <c r="AH333" s="15">
        <f t="shared" si="478"/>
        <v>0</v>
      </c>
      <c r="AI333" s="15">
        <f t="shared" ref="AI333" si="479">R333*R338</f>
        <v>0</v>
      </c>
      <c r="AJ333" s="23">
        <f>SUM(V333:AI333)</f>
        <v>114.99096</v>
      </c>
      <c r="AK333" s="2">
        <v>114.99096</v>
      </c>
    </row>
    <row r="334" spans="1:37" ht="15.75" customHeight="1" x14ac:dyDescent="0.3">
      <c r="A334" s="217"/>
      <c r="B334" s="2" t="s">
        <v>100</v>
      </c>
      <c r="C334" s="15">
        <v>13.196999999999999</v>
      </c>
      <c r="D334" s="15">
        <v>16.774000000000001</v>
      </c>
      <c r="E334" s="15">
        <v>19.911999999999999</v>
      </c>
      <c r="F334" s="15">
        <v>22.523</v>
      </c>
      <c r="G334" s="15">
        <v>23.914999999999999</v>
      </c>
      <c r="H334" s="15">
        <v>25.504000000000001</v>
      </c>
      <c r="I334" s="15">
        <v>25.864000000000001</v>
      </c>
      <c r="J334" s="15">
        <v>27.045000000000002</v>
      </c>
      <c r="K334" s="15">
        <v>27.63</v>
      </c>
      <c r="L334" s="15">
        <v>27.018999999999998</v>
      </c>
      <c r="M334" s="15">
        <v>25.637</v>
      </c>
      <c r="N334" s="15"/>
      <c r="O334" s="15"/>
      <c r="P334" s="15" t="s">
        <v>113</v>
      </c>
      <c r="Q334" s="16">
        <f t="shared" ref="Q334" si="480">COUNTIF(C331:O331, "&gt;=0" )</f>
        <v>11</v>
      </c>
      <c r="S334" s="217"/>
      <c r="T334" s="217"/>
      <c r="U334" s="8" t="s">
        <v>100</v>
      </c>
      <c r="V334" s="15">
        <f t="shared" ref="V334:AH334" si="481">C334*C338</f>
        <v>6.5984999999999996</v>
      </c>
      <c r="W334" s="15">
        <f t="shared" si="481"/>
        <v>8.3870000000000005</v>
      </c>
      <c r="X334" s="15">
        <f t="shared" si="481"/>
        <v>9.9559999999999995</v>
      </c>
      <c r="Y334" s="15">
        <f t="shared" si="481"/>
        <v>11.2615</v>
      </c>
      <c r="Z334" s="15">
        <f t="shared" si="481"/>
        <v>11.9575</v>
      </c>
      <c r="AA334" s="15">
        <f t="shared" si="481"/>
        <v>13.262080000000001</v>
      </c>
      <c r="AB334" s="15">
        <f t="shared" si="481"/>
        <v>12.414719999999999</v>
      </c>
      <c r="AC334" s="15">
        <f t="shared" si="481"/>
        <v>13.522500000000001</v>
      </c>
      <c r="AD334" s="15">
        <f t="shared" si="481"/>
        <v>14.920200000000001</v>
      </c>
      <c r="AE334" s="15">
        <f t="shared" si="481"/>
        <v>12.428739999999999</v>
      </c>
      <c r="AF334" s="15">
        <f t="shared" si="481"/>
        <v>12.8185</v>
      </c>
      <c r="AG334" s="15">
        <f t="shared" si="481"/>
        <v>0</v>
      </c>
      <c r="AH334" s="15">
        <f t="shared" si="481"/>
        <v>0</v>
      </c>
      <c r="AI334" s="15">
        <f t="shared" ref="AI334" si="482">R334*R338</f>
        <v>0</v>
      </c>
      <c r="AJ334" s="23">
        <f>SUM(V334:AI334)</f>
        <v>127.52724000000001</v>
      </c>
      <c r="AK334" s="2">
        <v>127.52724000000001</v>
      </c>
    </row>
    <row r="335" spans="1:37" x14ac:dyDescent="0.3">
      <c r="A335" s="6"/>
      <c r="B335" s="2" t="s">
        <v>114</v>
      </c>
      <c r="C335" s="15">
        <v>12.946999999999999</v>
      </c>
      <c r="D335" s="15">
        <v>15.344000000000001</v>
      </c>
      <c r="E335" s="15">
        <v>16.116</v>
      </c>
      <c r="F335" s="15">
        <v>18.183999999999997</v>
      </c>
      <c r="G335" s="15">
        <v>19.706</v>
      </c>
      <c r="H335" s="15">
        <v>20.741</v>
      </c>
      <c r="I335" s="15">
        <v>21.830000000000002</v>
      </c>
      <c r="J335" s="15">
        <v>24.177000000000003</v>
      </c>
      <c r="K335" s="15">
        <v>26.558999999999997</v>
      </c>
      <c r="L335" s="15">
        <v>26.290999999999997</v>
      </c>
      <c r="M335" s="15">
        <v>25.637</v>
      </c>
      <c r="N335" s="15"/>
      <c r="O335" s="15"/>
      <c r="P335" s="15"/>
      <c r="Q335" s="15"/>
      <c r="S335" s="6"/>
      <c r="T335" s="6"/>
      <c r="U335" s="8" t="s">
        <v>101</v>
      </c>
      <c r="V335" s="15">
        <f t="shared" ref="V335:AH335" si="483">C335*C338</f>
        <v>6.4734999999999996</v>
      </c>
      <c r="W335" s="15">
        <f t="shared" si="483"/>
        <v>7.6720000000000006</v>
      </c>
      <c r="X335" s="15">
        <f t="shared" si="483"/>
        <v>8.0579999999999998</v>
      </c>
      <c r="Y335" s="15">
        <f t="shared" si="483"/>
        <v>9.0919999999999987</v>
      </c>
      <c r="Z335" s="15">
        <f t="shared" si="483"/>
        <v>9.8529999999999998</v>
      </c>
      <c r="AA335" s="15">
        <f t="shared" si="483"/>
        <v>10.78532</v>
      </c>
      <c r="AB335" s="15">
        <f t="shared" si="483"/>
        <v>10.478400000000001</v>
      </c>
      <c r="AC335" s="15">
        <f t="shared" si="483"/>
        <v>12.088500000000002</v>
      </c>
      <c r="AD335" s="15">
        <f t="shared" si="483"/>
        <v>14.341859999999999</v>
      </c>
      <c r="AE335" s="15">
        <f t="shared" si="483"/>
        <v>12.093859999999999</v>
      </c>
      <c r="AF335" s="15">
        <f t="shared" si="483"/>
        <v>12.8185</v>
      </c>
      <c r="AG335" s="15">
        <f t="shared" si="483"/>
        <v>0</v>
      </c>
      <c r="AH335" s="15">
        <f t="shared" si="483"/>
        <v>0</v>
      </c>
      <c r="AI335" s="15">
        <f t="shared" ref="AI335" si="484">R335*R338</f>
        <v>0</v>
      </c>
      <c r="AJ335" s="23">
        <f>SUM(V335:AI335)</f>
        <v>113.75494</v>
      </c>
      <c r="AK335" s="2">
        <v>113.75494</v>
      </c>
    </row>
    <row r="336" spans="1:37" x14ac:dyDescent="0.3">
      <c r="A336" s="6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S336" s="6"/>
      <c r="T336" s="6"/>
      <c r="U336" s="24" t="s">
        <v>115</v>
      </c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19">
        <f>(AJ333-AJ334)/AJ333*100</f>
        <v>-10.901970033122609</v>
      </c>
      <c r="AK336" s="2">
        <v>-10.901970033122609</v>
      </c>
    </row>
    <row r="337" spans="1:37" x14ac:dyDescent="0.3">
      <c r="A337" s="6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S337" s="6"/>
      <c r="T337" s="6"/>
      <c r="U337" s="24" t="s">
        <v>103</v>
      </c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19">
        <f>AJ333-AJ335</f>
        <v>1.2360199999999963</v>
      </c>
      <c r="AK337" s="2">
        <v>1.2360199999999963</v>
      </c>
    </row>
    <row r="338" spans="1:37" ht="16.2" thickBot="1" x14ac:dyDescent="0.35">
      <c r="A338" s="6"/>
      <c r="B338" s="2" t="s">
        <v>32</v>
      </c>
      <c r="C338" s="15">
        <v>0.5</v>
      </c>
      <c r="D338" s="15">
        <v>0.5</v>
      </c>
      <c r="E338" s="15">
        <v>0.5</v>
      </c>
      <c r="F338" s="15">
        <v>0.5</v>
      </c>
      <c r="G338" s="15">
        <v>0.5</v>
      </c>
      <c r="H338" s="15">
        <v>0.52</v>
      </c>
      <c r="I338" s="15">
        <v>0.48</v>
      </c>
      <c r="J338" s="15">
        <v>0.5</v>
      </c>
      <c r="K338" s="15">
        <v>0.54</v>
      </c>
      <c r="L338" s="15">
        <v>0.46</v>
      </c>
      <c r="M338" s="15">
        <v>0.5</v>
      </c>
      <c r="N338" s="15"/>
      <c r="O338" s="15"/>
      <c r="P338" s="15"/>
      <c r="Q338" s="15"/>
      <c r="R338" s="16"/>
      <c r="S338" s="6"/>
      <c r="T338" s="6"/>
      <c r="U338" s="8" t="s">
        <v>97</v>
      </c>
      <c r="V338" s="219"/>
      <c r="W338" s="219"/>
      <c r="X338" s="219"/>
      <c r="Y338" s="219"/>
      <c r="Z338" s="219"/>
      <c r="AA338" s="219"/>
      <c r="AB338" s="219"/>
      <c r="AC338" s="219"/>
      <c r="AD338" s="219"/>
      <c r="AE338" s="219"/>
      <c r="AF338" s="219"/>
      <c r="AG338" s="219"/>
      <c r="AH338" s="219"/>
      <c r="AI338" s="220"/>
      <c r="AJ338" s="26"/>
    </row>
    <row r="339" spans="1:37" ht="15.75" customHeight="1" x14ac:dyDescent="0.3">
      <c r="A339" s="216" t="s">
        <v>176</v>
      </c>
      <c r="B339" s="13" t="s">
        <v>98</v>
      </c>
      <c r="C339" s="14">
        <v>0.219</v>
      </c>
      <c r="D339" s="14">
        <v>0.45400000000000001</v>
      </c>
      <c r="E339" s="14">
        <v>2.423</v>
      </c>
      <c r="F339" s="14">
        <v>3.3260000000000001</v>
      </c>
      <c r="G339" s="14">
        <v>4.05</v>
      </c>
      <c r="H339" s="14">
        <v>3.673</v>
      </c>
      <c r="I339" s="14">
        <v>2.5649999999999999</v>
      </c>
      <c r="J339" s="14">
        <v>1.2150000000000001</v>
      </c>
      <c r="K339" s="14">
        <v>0.60599999999999998</v>
      </c>
      <c r="L339" s="14">
        <v>9.7000000000000003E-2</v>
      </c>
      <c r="M339" s="14"/>
      <c r="N339" s="14"/>
      <c r="O339" s="14"/>
      <c r="P339" s="15" t="s">
        <v>109</v>
      </c>
      <c r="Q339" s="16">
        <f t="shared" ref="Q339" si="485">COUNTIF(C339:N339, "&gt;0" )</f>
        <v>10</v>
      </c>
      <c r="S339" s="216" t="s">
        <v>176</v>
      </c>
      <c r="T339" s="216" t="s">
        <v>2</v>
      </c>
      <c r="U339" s="17" t="s">
        <v>98</v>
      </c>
      <c r="V339" s="18">
        <f t="shared" ref="V339:AH339" si="486">C339*C346</f>
        <v>0.1095</v>
      </c>
      <c r="W339" s="18">
        <f t="shared" si="486"/>
        <v>0.23608000000000001</v>
      </c>
      <c r="X339" s="18">
        <f t="shared" si="486"/>
        <v>1.1630400000000001</v>
      </c>
      <c r="Y339" s="18">
        <f t="shared" si="486"/>
        <v>1.663</v>
      </c>
      <c r="Z339" s="18">
        <f t="shared" si="486"/>
        <v>2.3489999999999998</v>
      </c>
      <c r="AA339" s="18">
        <f t="shared" si="486"/>
        <v>1.5426599999999999</v>
      </c>
      <c r="AB339" s="18">
        <f t="shared" si="486"/>
        <v>1.3338000000000001</v>
      </c>
      <c r="AC339" s="18">
        <f t="shared" si="486"/>
        <v>0.58320000000000005</v>
      </c>
      <c r="AD339" s="18">
        <f t="shared" si="486"/>
        <v>0.31512000000000001</v>
      </c>
      <c r="AE339" s="18">
        <f t="shared" si="486"/>
        <v>5.0440000000000006E-2</v>
      </c>
      <c r="AF339" s="18">
        <f t="shared" si="486"/>
        <v>0</v>
      </c>
      <c r="AG339" s="18">
        <f t="shared" si="486"/>
        <v>0</v>
      </c>
      <c r="AH339" s="18">
        <f t="shared" si="486"/>
        <v>0</v>
      </c>
      <c r="AI339" s="18">
        <f t="shared" ref="AI339" si="487">R339*R346</f>
        <v>0</v>
      </c>
      <c r="AJ339" s="19">
        <f>SUM(V339:AI339)</f>
        <v>9.345839999999999</v>
      </c>
      <c r="AK339" s="2">
        <v>9.345839999999999</v>
      </c>
    </row>
    <row r="340" spans="1:37" ht="15.75" customHeight="1" x14ac:dyDescent="0.3">
      <c r="A340" s="217"/>
      <c r="B340" s="2" t="s">
        <v>110</v>
      </c>
      <c r="C340" s="15" t="s">
        <v>111</v>
      </c>
      <c r="D340" s="15" t="s">
        <v>111</v>
      </c>
      <c r="E340" s="15" t="s">
        <v>111</v>
      </c>
      <c r="F340" s="15" t="s">
        <v>111</v>
      </c>
      <c r="G340" s="15" t="s">
        <v>112</v>
      </c>
      <c r="H340" s="15" t="s">
        <v>112</v>
      </c>
      <c r="I340" s="15" t="s">
        <v>112</v>
      </c>
      <c r="J340" s="15" t="s">
        <v>112</v>
      </c>
      <c r="K340" s="15" t="s">
        <v>111</v>
      </c>
      <c r="L340" s="15" t="s">
        <v>111</v>
      </c>
      <c r="M340" s="15"/>
      <c r="N340" s="15"/>
      <c r="O340" s="15"/>
      <c r="P340" s="15" t="s">
        <v>105</v>
      </c>
      <c r="Q340" s="15">
        <f t="shared" ref="Q340" si="488">COUNTIF(C340:N340,"Cortex")</f>
        <v>6</v>
      </c>
      <c r="S340" s="217"/>
      <c r="T340" s="217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23"/>
    </row>
    <row r="341" spans="1:37" ht="15.75" customHeight="1" x14ac:dyDescent="0.3">
      <c r="A341" s="217"/>
      <c r="B341" s="2" t="s">
        <v>99</v>
      </c>
      <c r="C341" s="15">
        <v>13.3</v>
      </c>
      <c r="D341" s="15">
        <v>17.695</v>
      </c>
      <c r="E341" s="15">
        <v>21.757000000000001</v>
      </c>
      <c r="F341" s="15">
        <v>21.99</v>
      </c>
      <c r="G341" s="15">
        <v>25.414000000000001</v>
      </c>
      <c r="H341" s="15">
        <v>26.378</v>
      </c>
      <c r="I341" s="15">
        <v>26.906000000000002</v>
      </c>
      <c r="J341" s="15">
        <v>28.192</v>
      </c>
      <c r="K341" s="15">
        <v>27.881</v>
      </c>
      <c r="L341" s="15">
        <v>27.625</v>
      </c>
      <c r="M341" s="15"/>
      <c r="N341" s="15"/>
      <c r="O341" s="15"/>
      <c r="P341" s="15" t="s">
        <v>106</v>
      </c>
      <c r="Q341" s="15">
        <f t="shared" ref="Q341" si="489">Q339-Q340</f>
        <v>4</v>
      </c>
      <c r="S341" s="217"/>
      <c r="T341" s="217"/>
      <c r="U341" s="8" t="s">
        <v>99</v>
      </c>
      <c r="V341" s="15">
        <f t="shared" ref="V341:AH341" si="490">C341*C346</f>
        <v>6.65</v>
      </c>
      <c r="W341" s="15">
        <f t="shared" si="490"/>
        <v>9.2013999999999996</v>
      </c>
      <c r="X341" s="15">
        <f t="shared" si="490"/>
        <v>10.44336</v>
      </c>
      <c r="Y341" s="15">
        <f t="shared" si="490"/>
        <v>10.994999999999999</v>
      </c>
      <c r="Z341" s="15">
        <f t="shared" si="490"/>
        <v>14.740119999999999</v>
      </c>
      <c r="AA341" s="15">
        <f t="shared" si="490"/>
        <v>11.078759999999999</v>
      </c>
      <c r="AB341" s="15">
        <f t="shared" si="490"/>
        <v>13.991120000000002</v>
      </c>
      <c r="AC341" s="15">
        <f t="shared" si="490"/>
        <v>13.532159999999999</v>
      </c>
      <c r="AD341" s="15">
        <f t="shared" si="490"/>
        <v>14.49812</v>
      </c>
      <c r="AE341" s="15">
        <f t="shared" si="490"/>
        <v>14.365</v>
      </c>
      <c r="AF341" s="15">
        <f t="shared" si="490"/>
        <v>0</v>
      </c>
      <c r="AG341" s="15">
        <f t="shared" si="490"/>
        <v>0</v>
      </c>
      <c r="AH341" s="15">
        <f t="shared" si="490"/>
        <v>0</v>
      </c>
      <c r="AI341" s="15">
        <f t="shared" ref="AI341" si="491">R341*R346</f>
        <v>0</v>
      </c>
      <c r="AJ341" s="23">
        <f>SUM(V341:AI341)</f>
        <v>119.49504</v>
      </c>
      <c r="AK341" s="2">
        <v>119.49504</v>
      </c>
    </row>
    <row r="342" spans="1:37" ht="15.75" customHeight="1" x14ac:dyDescent="0.3">
      <c r="A342" s="217"/>
      <c r="B342" s="2" t="s">
        <v>100</v>
      </c>
      <c r="C342" s="15">
        <v>13.3</v>
      </c>
      <c r="D342" s="15">
        <v>17.555</v>
      </c>
      <c r="E342" s="15">
        <v>20.814</v>
      </c>
      <c r="F342" s="15">
        <v>23.934999999999999</v>
      </c>
      <c r="G342" s="15">
        <v>25.318000000000001</v>
      </c>
      <c r="H342" s="15">
        <v>26.062000000000001</v>
      </c>
      <c r="I342" s="15">
        <v>27.465</v>
      </c>
      <c r="J342" s="15">
        <v>27.835000000000001</v>
      </c>
      <c r="K342" s="15">
        <v>27.273</v>
      </c>
      <c r="L342" s="15">
        <v>26.550999999999998</v>
      </c>
      <c r="M342" s="15"/>
      <c r="N342" s="15"/>
      <c r="O342" s="15"/>
      <c r="P342" s="15" t="s">
        <v>113</v>
      </c>
      <c r="Q342" s="16">
        <f t="shared" ref="Q342" si="492">COUNTIF(C339:O339, "&gt;=0" )</f>
        <v>10</v>
      </c>
      <c r="S342" s="217"/>
      <c r="T342" s="217"/>
      <c r="U342" s="8" t="s">
        <v>100</v>
      </c>
      <c r="V342" s="15">
        <f t="shared" ref="V342:AH342" si="493">C342*C346</f>
        <v>6.65</v>
      </c>
      <c r="W342" s="15">
        <f t="shared" si="493"/>
        <v>9.1286000000000005</v>
      </c>
      <c r="X342" s="15">
        <f t="shared" si="493"/>
        <v>9.9907199999999996</v>
      </c>
      <c r="Y342" s="15">
        <f t="shared" si="493"/>
        <v>11.967499999999999</v>
      </c>
      <c r="Z342" s="15">
        <f t="shared" si="493"/>
        <v>14.68444</v>
      </c>
      <c r="AA342" s="15">
        <f t="shared" si="493"/>
        <v>10.94604</v>
      </c>
      <c r="AB342" s="15">
        <f t="shared" si="493"/>
        <v>14.2818</v>
      </c>
      <c r="AC342" s="15">
        <f t="shared" si="493"/>
        <v>13.360799999999999</v>
      </c>
      <c r="AD342" s="15">
        <f t="shared" si="493"/>
        <v>14.18196</v>
      </c>
      <c r="AE342" s="15">
        <f t="shared" si="493"/>
        <v>13.806519999999999</v>
      </c>
      <c r="AF342" s="15">
        <f t="shared" si="493"/>
        <v>0</v>
      </c>
      <c r="AG342" s="15">
        <f t="shared" si="493"/>
        <v>0</v>
      </c>
      <c r="AH342" s="15">
        <f t="shared" si="493"/>
        <v>0</v>
      </c>
      <c r="AI342" s="15">
        <f t="shared" ref="AI342" si="494">R342*R346</f>
        <v>0</v>
      </c>
      <c r="AJ342" s="23">
        <f>SUM(V342:AI342)</f>
        <v>118.99838</v>
      </c>
      <c r="AK342" s="2">
        <v>118.99838</v>
      </c>
    </row>
    <row r="343" spans="1:37" x14ac:dyDescent="0.3">
      <c r="A343" s="6"/>
      <c r="B343" s="2" t="s">
        <v>114</v>
      </c>
      <c r="C343" s="15">
        <v>13.081000000000001</v>
      </c>
      <c r="D343" s="15">
        <v>17.100999999999999</v>
      </c>
      <c r="E343" s="15">
        <v>18.390999999999998</v>
      </c>
      <c r="F343" s="15">
        <v>20.608999999999998</v>
      </c>
      <c r="G343" s="15">
        <v>21.268000000000001</v>
      </c>
      <c r="H343" s="15">
        <v>22.389000000000003</v>
      </c>
      <c r="I343" s="15">
        <v>24.9</v>
      </c>
      <c r="J343" s="15">
        <v>26.62</v>
      </c>
      <c r="K343" s="15">
        <v>26.666999999999998</v>
      </c>
      <c r="L343" s="15">
        <v>26.453999999999997</v>
      </c>
      <c r="M343" s="15"/>
      <c r="N343" s="15"/>
      <c r="O343" s="15"/>
      <c r="P343" s="15"/>
      <c r="Q343" s="15"/>
      <c r="S343" s="6"/>
      <c r="T343" s="6"/>
      <c r="U343" s="8" t="s">
        <v>101</v>
      </c>
      <c r="V343" s="15">
        <f t="shared" ref="V343:AH343" si="495">C343*C346</f>
        <v>6.5405000000000006</v>
      </c>
      <c r="W343" s="15">
        <f t="shared" si="495"/>
        <v>8.8925199999999993</v>
      </c>
      <c r="X343" s="15">
        <f t="shared" si="495"/>
        <v>8.8276799999999991</v>
      </c>
      <c r="Y343" s="15">
        <f t="shared" si="495"/>
        <v>10.304499999999999</v>
      </c>
      <c r="Z343" s="15">
        <f t="shared" si="495"/>
        <v>12.33544</v>
      </c>
      <c r="AA343" s="15">
        <f t="shared" si="495"/>
        <v>9.4033800000000003</v>
      </c>
      <c r="AB343" s="15">
        <f t="shared" si="495"/>
        <v>12.948</v>
      </c>
      <c r="AC343" s="15">
        <f t="shared" si="495"/>
        <v>12.7776</v>
      </c>
      <c r="AD343" s="15">
        <f t="shared" si="495"/>
        <v>13.86684</v>
      </c>
      <c r="AE343" s="15">
        <f t="shared" si="495"/>
        <v>13.756079999999999</v>
      </c>
      <c r="AF343" s="15">
        <f t="shared" si="495"/>
        <v>0</v>
      </c>
      <c r="AG343" s="15">
        <f t="shared" si="495"/>
        <v>0</v>
      </c>
      <c r="AH343" s="15">
        <f t="shared" si="495"/>
        <v>0</v>
      </c>
      <c r="AI343" s="15">
        <f t="shared" ref="AI343" si="496">R343*R346</f>
        <v>0</v>
      </c>
      <c r="AJ343" s="23">
        <f>SUM(V343:AI343)</f>
        <v>109.65253999999999</v>
      </c>
      <c r="AK343" s="2">
        <v>109.65253999999999</v>
      </c>
    </row>
    <row r="344" spans="1:37" x14ac:dyDescent="0.3">
      <c r="A344" s="6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S344" s="6"/>
      <c r="T344" s="6"/>
      <c r="U344" s="24" t="s">
        <v>115</v>
      </c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19">
        <f>(AJ341-AJ342)/AJ341*100</f>
        <v>0.41563231411111767</v>
      </c>
      <c r="AK344" s="2">
        <v>0.41563231411111767</v>
      </c>
    </row>
    <row r="345" spans="1:37" x14ac:dyDescent="0.3">
      <c r="A345" s="6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S345" s="6"/>
      <c r="T345" s="6"/>
      <c r="U345" s="24" t="s">
        <v>103</v>
      </c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19">
        <f>AJ341-AJ343</f>
        <v>9.8425000000000153</v>
      </c>
      <c r="AK345" s="2">
        <v>9.8425000000000153</v>
      </c>
    </row>
    <row r="346" spans="1:37" ht="16.2" thickBot="1" x14ac:dyDescent="0.35">
      <c r="A346" s="6"/>
      <c r="B346" s="2" t="s">
        <v>32</v>
      </c>
      <c r="C346" s="15">
        <v>0.5</v>
      </c>
      <c r="D346" s="15">
        <v>0.52</v>
      </c>
      <c r="E346" s="15">
        <v>0.48</v>
      </c>
      <c r="F346" s="15">
        <v>0.5</v>
      </c>
      <c r="G346" s="15">
        <v>0.57999999999999996</v>
      </c>
      <c r="H346" s="15">
        <v>0.42</v>
      </c>
      <c r="I346" s="15">
        <v>0.52</v>
      </c>
      <c r="J346" s="15">
        <v>0.48</v>
      </c>
      <c r="K346" s="15">
        <v>0.52</v>
      </c>
      <c r="L346" s="15">
        <v>0.52</v>
      </c>
      <c r="M346" s="15"/>
      <c r="N346" s="15"/>
      <c r="O346" s="15"/>
      <c r="P346" s="15"/>
      <c r="Q346" s="15"/>
      <c r="R346" s="16"/>
      <c r="S346" s="6"/>
      <c r="T346" s="6"/>
      <c r="U346" s="8" t="s">
        <v>97</v>
      </c>
      <c r="V346" s="219"/>
      <c r="W346" s="219"/>
      <c r="X346" s="219"/>
      <c r="Y346" s="219"/>
      <c r="Z346" s="219"/>
      <c r="AA346" s="219"/>
      <c r="AB346" s="219"/>
      <c r="AC346" s="219"/>
      <c r="AD346" s="219"/>
      <c r="AE346" s="219"/>
      <c r="AF346" s="219"/>
      <c r="AG346" s="219"/>
      <c r="AH346" s="219"/>
      <c r="AI346" s="220"/>
      <c r="AJ346" s="26"/>
    </row>
    <row r="347" spans="1:37" ht="15.75" customHeight="1" x14ac:dyDescent="0.3">
      <c r="A347" s="216" t="s">
        <v>177</v>
      </c>
      <c r="B347" s="13" t="s">
        <v>98</v>
      </c>
      <c r="C347" s="14">
        <v>0</v>
      </c>
      <c r="D347" s="14">
        <v>7.0999999999999994E-2</v>
      </c>
      <c r="E347" s="14">
        <v>1.1879999999999999</v>
      </c>
      <c r="F347" s="14">
        <v>2.0299999999999998</v>
      </c>
      <c r="G347" s="14">
        <v>2.8460000000000001</v>
      </c>
      <c r="H347" s="14">
        <v>3.29</v>
      </c>
      <c r="I347" s="14">
        <v>3.2589999999999999</v>
      </c>
      <c r="J347" s="14">
        <v>4.335</v>
      </c>
      <c r="K347" s="14">
        <v>3.4590000000000001</v>
      </c>
      <c r="L347" s="14">
        <v>0.78099999999999992</v>
      </c>
      <c r="M347" s="14">
        <v>0.191</v>
      </c>
      <c r="N347" s="14"/>
      <c r="O347" s="14"/>
      <c r="P347" s="15" t="s">
        <v>109</v>
      </c>
      <c r="Q347" s="16">
        <f t="shared" ref="Q347" si="497">COUNTIF(C347:N347, "&gt;0" )</f>
        <v>10</v>
      </c>
      <c r="S347" s="216" t="s">
        <v>177</v>
      </c>
      <c r="T347" s="216" t="s">
        <v>2</v>
      </c>
      <c r="U347" s="17" t="s">
        <v>98</v>
      </c>
      <c r="V347" s="18">
        <f t="shared" ref="V347:AH347" si="498">C347*C354</f>
        <v>0</v>
      </c>
      <c r="W347" s="18">
        <f t="shared" si="498"/>
        <v>3.6920000000000001E-2</v>
      </c>
      <c r="X347" s="18">
        <f t="shared" si="498"/>
        <v>0.71279999999999999</v>
      </c>
      <c r="Y347" s="18">
        <f t="shared" si="498"/>
        <v>0.93379999999999996</v>
      </c>
      <c r="Z347" s="18">
        <f t="shared" si="498"/>
        <v>1.25224</v>
      </c>
      <c r="AA347" s="18">
        <f t="shared" si="498"/>
        <v>2.6978000000000004</v>
      </c>
      <c r="AB347" s="18">
        <f t="shared" si="498"/>
        <v>0.71697999999999984</v>
      </c>
      <c r="AC347" s="18">
        <f t="shared" si="498"/>
        <v>1.9941</v>
      </c>
      <c r="AD347" s="18">
        <f t="shared" si="498"/>
        <v>1.8678600000000001</v>
      </c>
      <c r="AE347" s="18">
        <f t="shared" si="498"/>
        <v>0.40611999999999998</v>
      </c>
      <c r="AF347" s="18">
        <f t="shared" si="498"/>
        <v>8.022E-2</v>
      </c>
      <c r="AG347" s="18">
        <f t="shared" si="498"/>
        <v>0</v>
      </c>
      <c r="AH347" s="18">
        <f t="shared" si="498"/>
        <v>0</v>
      </c>
      <c r="AI347" s="18">
        <f t="shared" ref="AI347" si="499">R347*R354</f>
        <v>0</v>
      </c>
      <c r="AJ347" s="19">
        <f>SUM(V347:AI347)</f>
        <v>10.698840000000001</v>
      </c>
      <c r="AK347" s="2">
        <v>10.698840000000001</v>
      </c>
    </row>
    <row r="348" spans="1:37" ht="15.75" customHeight="1" x14ac:dyDescent="0.3">
      <c r="A348" s="217"/>
      <c r="B348" s="2" t="s">
        <v>110</v>
      </c>
      <c r="C348" s="15"/>
      <c r="D348" s="15"/>
      <c r="E348" s="15" t="s">
        <v>111</v>
      </c>
      <c r="F348" s="15" t="s">
        <v>111</v>
      </c>
      <c r="G348" s="15" t="s">
        <v>111</v>
      </c>
      <c r="H348" s="15" t="s">
        <v>112</v>
      </c>
      <c r="I348" s="15" t="s">
        <v>112</v>
      </c>
      <c r="J348" s="15" t="s">
        <v>112</v>
      </c>
      <c r="K348" s="15" t="s">
        <v>112</v>
      </c>
      <c r="L348" s="15" t="s">
        <v>105</v>
      </c>
      <c r="M348" s="15" t="s">
        <v>111</v>
      </c>
      <c r="N348" s="15"/>
      <c r="O348" s="15"/>
      <c r="P348" s="15" t="s">
        <v>105</v>
      </c>
      <c r="Q348" s="15">
        <f t="shared" ref="Q348" si="500">COUNTIF(C348:N348,"Cortex")</f>
        <v>5</v>
      </c>
      <c r="S348" s="217"/>
      <c r="T348" s="217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23"/>
    </row>
    <row r="349" spans="1:37" ht="15.75" customHeight="1" x14ac:dyDescent="0.3">
      <c r="A349" s="217"/>
      <c r="B349" s="2" t="s">
        <v>99</v>
      </c>
      <c r="C349" s="15">
        <v>12.382</v>
      </c>
      <c r="D349" s="15">
        <v>15.263</v>
      </c>
      <c r="E349" s="15">
        <v>17.594999999999999</v>
      </c>
      <c r="F349" s="15">
        <v>19.305</v>
      </c>
      <c r="G349" s="15">
        <v>22.324999999999999</v>
      </c>
      <c r="H349" s="15">
        <v>22.733000000000001</v>
      </c>
      <c r="I349" s="15">
        <v>28.859000000000002</v>
      </c>
      <c r="J349" s="15">
        <v>29.291</v>
      </c>
      <c r="K349" s="15">
        <v>29.204000000000001</v>
      </c>
      <c r="L349" s="15">
        <v>27.771999999999998</v>
      </c>
      <c r="M349" s="15">
        <v>25.582000000000001</v>
      </c>
      <c r="N349" s="15"/>
      <c r="O349" s="15"/>
      <c r="P349" s="15" t="s">
        <v>106</v>
      </c>
      <c r="Q349" s="15">
        <f t="shared" ref="Q349" si="501">Q347-Q348</f>
        <v>5</v>
      </c>
      <c r="S349" s="217"/>
      <c r="T349" s="217"/>
      <c r="U349" s="8" t="s">
        <v>99</v>
      </c>
      <c r="V349" s="15">
        <f t="shared" ref="V349:AH349" si="502">C349*C354</f>
        <v>6.1909999999999998</v>
      </c>
      <c r="W349" s="15">
        <f t="shared" si="502"/>
        <v>7.9367600000000005</v>
      </c>
      <c r="X349" s="15">
        <f t="shared" si="502"/>
        <v>10.556999999999999</v>
      </c>
      <c r="Y349" s="15">
        <f t="shared" si="502"/>
        <v>8.8803000000000001</v>
      </c>
      <c r="Z349" s="15">
        <f t="shared" si="502"/>
        <v>9.8230000000000004</v>
      </c>
      <c r="AA349" s="15">
        <f t="shared" si="502"/>
        <v>18.641060000000003</v>
      </c>
      <c r="AB349" s="15">
        <f t="shared" si="502"/>
        <v>6.3489799999999992</v>
      </c>
      <c r="AC349" s="15">
        <f t="shared" si="502"/>
        <v>13.47386</v>
      </c>
      <c r="AD349" s="15">
        <f t="shared" si="502"/>
        <v>15.770160000000001</v>
      </c>
      <c r="AE349" s="15">
        <f t="shared" si="502"/>
        <v>14.44144</v>
      </c>
      <c r="AF349" s="15">
        <f t="shared" si="502"/>
        <v>10.744439999999999</v>
      </c>
      <c r="AG349" s="15">
        <f t="shared" si="502"/>
        <v>0</v>
      </c>
      <c r="AH349" s="15">
        <f t="shared" si="502"/>
        <v>0</v>
      </c>
      <c r="AI349" s="15">
        <f t="shared" ref="AI349" si="503">R349*R354</f>
        <v>0</v>
      </c>
      <c r="AJ349" s="23">
        <f>SUM(V349:AI349)</f>
        <v>122.80800000000001</v>
      </c>
      <c r="AK349" s="2">
        <v>122.80800000000001</v>
      </c>
    </row>
    <row r="350" spans="1:37" ht="15.75" customHeight="1" x14ac:dyDescent="0.3">
      <c r="A350" s="217"/>
      <c r="B350" s="2" t="s">
        <v>100</v>
      </c>
      <c r="C350" s="15">
        <v>11.721</v>
      </c>
      <c r="D350" s="15">
        <v>15.81</v>
      </c>
      <c r="E350" s="15">
        <v>18.082999999999998</v>
      </c>
      <c r="F350" s="15">
        <v>20.622</v>
      </c>
      <c r="G350" s="15">
        <v>22.231999999999999</v>
      </c>
      <c r="H350" s="15">
        <v>21.95</v>
      </c>
      <c r="I350" s="15">
        <v>27.75</v>
      </c>
      <c r="J350" s="15">
        <v>27.981000000000002</v>
      </c>
      <c r="K350" s="15">
        <v>27.625</v>
      </c>
      <c r="L350" s="15">
        <v>26.132999999999999</v>
      </c>
      <c r="M350" s="15">
        <v>25.204000000000001</v>
      </c>
      <c r="N350" s="15"/>
      <c r="O350" s="15"/>
      <c r="P350" s="15" t="s">
        <v>113</v>
      </c>
      <c r="Q350" s="16">
        <f t="shared" ref="Q350" si="504">COUNTIF(C347:O347, "&gt;=0" )</f>
        <v>11</v>
      </c>
      <c r="S350" s="217"/>
      <c r="T350" s="217"/>
      <c r="U350" s="8" t="s">
        <v>100</v>
      </c>
      <c r="V350" s="15">
        <f t="shared" ref="V350:AH350" si="505">C350*C354</f>
        <v>5.8605</v>
      </c>
      <c r="W350" s="15">
        <f t="shared" si="505"/>
        <v>8.2212000000000014</v>
      </c>
      <c r="X350" s="15">
        <f t="shared" si="505"/>
        <v>10.849799999999998</v>
      </c>
      <c r="Y350" s="15">
        <f t="shared" si="505"/>
        <v>9.4861199999999997</v>
      </c>
      <c r="Z350" s="15">
        <f t="shared" si="505"/>
        <v>9.7820800000000006</v>
      </c>
      <c r="AA350" s="15">
        <f t="shared" si="505"/>
        <v>17.999000000000002</v>
      </c>
      <c r="AB350" s="15">
        <f t="shared" si="505"/>
        <v>6.1049999999999995</v>
      </c>
      <c r="AC350" s="15">
        <f t="shared" si="505"/>
        <v>12.871260000000001</v>
      </c>
      <c r="AD350" s="15">
        <f t="shared" si="505"/>
        <v>14.9175</v>
      </c>
      <c r="AE350" s="15">
        <f t="shared" si="505"/>
        <v>13.58916</v>
      </c>
      <c r="AF350" s="15">
        <f t="shared" si="505"/>
        <v>10.58568</v>
      </c>
      <c r="AG350" s="15">
        <f t="shared" si="505"/>
        <v>0</v>
      </c>
      <c r="AH350" s="15">
        <f t="shared" si="505"/>
        <v>0</v>
      </c>
      <c r="AI350" s="15">
        <f t="shared" ref="AI350" si="506">R350*R354</f>
        <v>0</v>
      </c>
      <c r="AJ350" s="23">
        <f>SUM(V350:AI350)</f>
        <v>120.26730000000001</v>
      </c>
      <c r="AK350" s="2">
        <v>120.26730000000001</v>
      </c>
    </row>
    <row r="351" spans="1:37" x14ac:dyDescent="0.3">
      <c r="A351" s="6"/>
      <c r="B351" s="2" t="s">
        <v>114</v>
      </c>
      <c r="C351" s="15">
        <v>11.721</v>
      </c>
      <c r="D351" s="15">
        <v>15.739000000000001</v>
      </c>
      <c r="E351" s="15">
        <v>16.895</v>
      </c>
      <c r="F351" s="15">
        <v>18.591999999999999</v>
      </c>
      <c r="G351" s="15">
        <v>19.385999999999999</v>
      </c>
      <c r="H351" s="15">
        <v>18.66</v>
      </c>
      <c r="I351" s="15">
        <v>24.491</v>
      </c>
      <c r="J351" s="15">
        <v>23.646000000000001</v>
      </c>
      <c r="K351" s="15">
        <v>24.166</v>
      </c>
      <c r="L351" s="15">
        <v>25.352</v>
      </c>
      <c r="M351" s="15">
        <v>25.013000000000002</v>
      </c>
      <c r="N351" s="15"/>
      <c r="O351" s="15"/>
      <c r="P351" s="15"/>
      <c r="Q351" s="15"/>
      <c r="S351" s="6"/>
      <c r="T351" s="6"/>
      <c r="U351" s="8" t="s">
        <v>101</v>
      </c>
      <c r="V351" s="15">
        <f t="shared" ref="V351:AH351" si="507">C351*C354</f>
        <v>5.8605</v>
      </c>
      <c r="W351" s="15">
        <f t="shared" si="507"/>
        <v>8.1842800000000011</v>
      </c>
      <c r="X351" s="15">
        <f t="shared" si="507"/>
        <v>10.136999999999999</v>
      </c>
      <c r="Y351" s="15">
        <f t="shared" si="507"/>
        <v>8.5523199999999999</v>
      </c>
      <c r="Z351" s="15">
        <f t="shared" si="507"/>
        <v>8.5298400000000001</v>
      </c>
      <c r="AA351" s="15">
        <f t="shared" si="507"/>
        <v>15.301200000000001</v>
      </c>
      <c r="AB351" s="15">
        <f t="shared" si="507"/>
        <v>5.3880199999999991</v>
      </c>
      <c r="AC351" s="15">
        <f t="shared" si="507"/>
        <v>10.877160000000002</v>
      </c>
      <c r="AD351" s="15">
        <f t="shared" si="507"/>
        <v>13.049640000000002</v>
      </c>
      <c r="AE351" s="15">
        <f t="shared" si="507"/>
        <v>13.18304</v>
      </c>
      <c r="AF351" s="15">
        <f t="shared" si="507"/>
        <v>10.505460000000001</v>
      </c>
      <c r="AG351" s="15">
        <f t="shared" si="507"/>
        <v>0</v>
      </c>
      <c r="AH351" s="15">
        <f t="shared" si="507"/>
        <v>0</v>
      </c>
      <c r="AI351" s="15">
        <f t="shared" ref="AI351" si="508">R351*R354</f>
        <v>0</v>
      </c>
      <c r="AJ351" s="23">
        <f>SUM(V351:AI351)</f>
        <v>109.56846</v>
      </c>
      <c r="AK351" s="2">
        <v>109.56846</v>
      </c>
    </row>
    <row r="352" spans="1:37" x14ac:dyDescent="0.3">
      <c r="A352" s="6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S352" s="6"/>
      <c r="T352" s="6"/>
      <c r="U352" s="24" t="s">
        <v>115</v>
      </c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19">
        <f>(AJ349-AJ350)/AJ349*100</f>
        <v>2.0688391635724064</v>
      </c>
      <c r="AK352" s="2">
        <v>2.0688391635724064</v>
      </c>
    </row>
    <row r="353" spans="1:37" x14ac:dyDescent="0.3">
      <c r="A353" s="6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S353" s="6"/>
      <c r="T353" s="6"/>
      <c r="U353" s="24" t="s">
        <v>103</v>
      </c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19">
        <f>AJ349-AJ351</f>
        <v>13.239540000000005</v>
      </c>
      <c r="AK353" s="2">
        <v>13.239540000000005</v>
      </c>
    </row>
    <row r="354" spans="1:37" ht="16.2" thickBot="1" x14ac:dyDescent="0.35">
      <c r="A354" s="6"/>
      <c r="B354" s="2" t="s">
        <v>32</v>
      </c>
      <c r="C354" s="15">
        <v>0.5</v>
      </c>
      <c r="D354" s="15">
        <v>0.52</v>
      </c>
      <c r="E354" s="15">
        <v>0.6</v>
      </c>
      <c r="F354" s="15">
        <v>0.46</v>
      </c>
      <c r="G354" s="15">
        <v>0.44</v>
      </c>
      <c r="H354" s="15">
        <v>0.82000000000000006</v>
      </c>
      <c r="I354" s="15">
        <v>0.21999999999999997</v>
      </c>
      <c r="J354" s="15">
        <v>0.46</v>
      </c>
      <c r="K354" s="15">
        <v>0.54</v>
      </c>
      <c r="L354" s="15">
        <v>0.52</v>
      </c>
      <c r="M354" s="15">
        <v>0.42</v>
      </c>
      <c r="N354" s="15"/>
      <c r="O354" s="15"/>
      <c r="P354" s="15"/>
      <c r="Q354" s="15"/>
      <c r="R354" s="16"/>
      <c r="S354" s="6"/>
      <c r="T354" s="6"/>
      <c r="U354" s="8" t="s">
        <v>97</v>
      </c>
      <c r="V354" s="219"/>
      <c r="W354" s="219"/>
      <c r="X354" s="219"/>
      <c r="Y354" s="219"/>
      <c r="Z354" s="219"/>
      <c r="AA354" s="219"/>
      <c r="AB354" s="219"/>
      <c r="AC354" s="219"/>
      <c r="AD354" s="219"/>
      <c r="AE354" s="219"/>
      <c r="AF354" s="219"/>
      <c r="AG354" s="219"/>
      <c r="AH354" s="219"/>
      <c r="AI354" s="220"/>
      <c r="AJ354" s="26"/>
    </row>
    <row r="355" spans="1:37" ht="15.75" customHeight="1" x14ac:dyDescent="0.3">
      <c r="A355" s="216" t="s">
        <v>178</v>
      </c>
      <c r="B355" s="13" t="s">
        <v>98</v>
      </c>
      <c r="C355" s="14">
        <v>0.72499999999999998</v>
      </c>
      <c r="D355" s="14">
        <v>2.1739999999999999</v>
      </c>
      <c r="E355" s="14">
        <v>3.2250000000000001</v>
      </c>
      <c r="F355" s="14">
        <v>3.4089999999999998</v>
      </c>
      <c r="G355" s="14">
        <v>3.4079999999999999</v>
      </c>
      <c r="H355" s="14">
        <v>3.8639999999999999</v>
      </c>
      <c r="I355" s="14">
        <v>3.0760000000000001</v>
      </c>
      <c r="J355" s="14">
        <v>3.5049999999999999</v>
      </c>
      <c r="K355" s="14">
        <v>3.3420000000000001</v>
      </c>
      <c r="L355" s="14">
        <v>2.6829999999999998</v>
      </c>
      <c r="M355" s="14">
        <v>2.4630000000000001</v>
      </c>
      <c r="N355" s="14">
        <v>1.05</v>
      </c>
      <c r="O355" s="14"/>
      <c r="P355" s="15" t="s">
        <v>109</v>
      </c>
      <c r="Q355" s="16">
        <f t="shared" ref="Q355" si="509">COUNTIF(C355:N355, "&gt;0" )</f>
        <v>12</v>
      </c>
      <c r="S355" s="216" t="s">
        <v>178</v>
      </c>
      <c r="T355" s="216" t="s">
        <v>2</v>
      </c>
      <c r="U355" s="17" t="s">
        <v>98</v>
      </c>
      <c r="V355" s="18">
        <f t="shared" ref="V355:AH355" si="510">C355*C362</f>
        <v>0.36249999999999999</v>
      </c>
      <c r="W355" s="18">
        <f t="shared" si="510"/>
        <v>1.087</v>
      </c>
      <c r="X355" s="18">
        <f t="shared" si="510"/>
        <v>1.6125</v>
      </c>
      <c r="Y355" s="18">
        <f t="shared" si="510"/>
        <v>1.7044999999999999</v>
      </c>
      <c r="Z355" s="18">
        <f t="shared" si="510"/>
        <v>1.9084800000000002</v>
      </c>
      <c r="AA355" s="18">
        <f t="shared" si="510"/>
        <v>1.7774400000000001</v>
      </c>
      <c r="AB355" s="18">
        <f t="shared" si="510"/>
        <v>1.47648</v>
      </c>
      <c r="AC355" s="18">
        <f t="shared" si="510"/>
        <v>1.7524999999999999</v>
      </c>
      <c r="AD355" s="18">
        <f t="shared" si="510"/>
        <v>1.671</v>
      </c>
      <c r="AE355" s="18">
        <f t="shared" si="510"/>
        <v>1.3414999999999999</v>
      </c>
      <c r="AF355" s="18">
        <f t="shared" si="510"/>
        <v>1.2315</v>
      </c>
      <c r="AG355" s="18">
        <f t="shared" si="510"/>
        <v>0.56700000000000006</v>
      </c>
      <c r="AH355" s="18">
        <f t="shared" si="510"/>
        <v>0</v>
      </c>
      <c r="AI355" s="18">
        <f t="shared" ref="AI355" si="511">R355*R362</f>
        <v>0</v>
      </c>
      <c r="AJ355" s="19">
        <f>SUM(V355:AI355)</f>
        <v>16.4924</v>
      </c>
      <c r="AK355" s="2">
        <v>16.4924</v>
      </c>
    </row>
    <row r="356" spans="1:37" ht="15.75" customHeight="1" x14ac:dyDescent="0.3">
      <c r="A356" s="217"/>
      <c r="B356" s="2" t="s">
        <v>110</v>
      </c>
      <c r="C356" s="15" t="s">
        <v>111</v>
      </c>
      <c r="D356" s="15" t="s">
        <v>111</v>
      </c>
      <c r="E356" s="15" t="s">
        <v>111</v>
      </c>
      <c r="F356" s="15" t="s">
        <v>111</v>
      </c>
      <c r="G356" s="15" t="s">
        <v>111</v>
      </c>
      <c r="H356" s="15" t="s">
        <v>112</v>
      </c>
      <c r="I356" s="15" t="s">
        <v>112</v>
      </c>
      <c r="J356" s="15" t="s">
        <v>112</v>
      </c>
      <c r="K356" s="15" t="s">
        <v>112</v>
      </c>
      <c r="L356" s="15" t="s">
        <v>112</v>
      </c>
      <c r="M356" s="15" t="s">
        <v>111</v>
      </c>
      <c r="N356" s="15" t="s">
        <v>111</v>
      </c>
      <c r="O356" s="15"/>
      <c r="P356" s="15" t="s">
        <v>105</v>
      </c>
      <c r="Q356" s="15">
        <f t="shared" ref="Q356" si="512">COUNTIF(C356:N356,"Cortex")</f>
        <v>7</v>
      </c>
      <c r="S356" s="217"/>
      <c r="T356" s="217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23"/>
    </row>
    <row r="357" spans="1:37" ht="15.75" customHeight="1" x14ac:dyDescent="0.3">
      <c r="A357" s="217"/>
      <c r="B357" s="2" t="s">
        <v>99</v>
      </c>
      <c r="C357" s="15">
        <v>11.292</v>
      </c>
      <c r="D357" s="15">
        <v>13.377000000000001</v>
      </c>
      <c r="E357" s="15">
        <v>16.681999999999999</v>
      </c>
      <c r="F357" s="15">
        <v>19.125</v>
      </c>
      <c r="G357" s="15">
        <v>21.937000000000001</v>
      </c>
      <c r="H357" s="15">
        <v>23.271999999999998</v>
      </c>
      <c r="I357" s="15">
        <v>24.436</v>
      </c>
      <c r="J357" s="15">
        <v>23.724</v>
      </c>
      <c r="K357" s="15">
        <v>25.983000000000001</v>
      </c>
      <c r="L357" s="15">
        <v>26.632999999999999</v>
      </c>
      <c r="M357" s="15">
        <v>26.418000000000003</v>
      </c>
      <c r="N357" s="15">
        <v>25.206</v>
      </c>
      <c r="O357" s="15"/>
      <c r="P357" s="15" t="s">
        <v>106</v>
      </c>
      <c r="Q357" s="15">
        <f t="shared" ref="Q357" si="513">Q355-Q356</f>
        <v>5</v>
      </c>
      <c r="S357" s="217"/>
      <c r="T357" s="217"/>
      <c r="U357" s="8" t="s">
        <v>99</v>
      </c>
      <c r="V357" s="15">
        <f t="shared" ref="V357:AH357" si="514">C357*C362</f>
        <v>5.6459999999999999</v>
      </c>
      <c r="W357" s="15">
        <f t="shared" si="514"/>
        <v>6.6885000000000003</v>
      </c>
      <c r="X357" s="15">
        <f t="shared" si="514"/>
        <v>8.3409999999999993</v>
      </c>
      <c r="Y357" s="15">
        <f t="shared" si="514"/>
        <v>9.5625</v>
      </c>
      <c r="Z357" s="15">
        <f t="shared" si="514"/>
        <v>12.284720000000002</v>
      </c>
      <c r="AA357" s="15">
        <f t="shared" si="514"/>
        <v>10.705119999999999</v>
      </c>
      <c r="AB357" s="15">
        <f t="shared" si="514"/>
        <v>11.729279999999999</v>
      </c>
      <c r="AC357" s="15">
        <f t="shared" si="514"/>
        <v>11.862</v>
      </c>
      <c r="AD357" s="15">
        <f t="shared" si="514"/>
        <v>12.9915</v>
      </c>
      <c r="AE357" s="15">
        <f t="shared" si="514"/>
        <v>13.3165</v>
      </c>
      <c r="AF357" s="15">
        <f t="shared" si="514"/>
        <v>13.209000000000001</v>
      </c>
      <c r="AG357" s="15">
        <f t="shared" si="514"/>
        <v>13.61124</v>
      </c>
      <c r="AH357" s="15">
        <f t="shared" si="514"/>
        <v>0</v>
      </c>
      <c r="AI357" s="15">
        <f t="shared" ref="AI357" si="515">R357*R362</f>
        <v>0</v>
      </c>
      <c r="AJ357" s="23">
        <f>SUM(V357:AI357)</f>
        <v>129.94736</v>
      </c>
      <c r="AK357" s="2">
        <v>129.94736</v>
      </c>
    </row>
    <row r="358" spans="1:37" ht="15.75" customHeight="1" x14ac:dyDescent="0.3">
      <c r="A358" s="217"/>
      <c r="B358" s="2" t="s">
        <v>100</v>
      </c>
      <c r="C358" s="15">
        <v>10.038</v>
      </c>
      <c r="D358" s="15">
        <v>12.975</v>
      </c>
      <c r="E358" s="15">
        <v>16.253</v>
      </c>
      <c r="F358" s="15">
        <v>18.795000000000002</v>
      </c>
      <c r="G358" s="15">
        <v>19.736999999999998</v>
      </c>
      <c r="H358" s="15">
        <v>21.588000000000001</v>
      </c>
      <c r="I358" s="15">
        <v>22.282999999999998</v>
      </c>
      <c r="J358" s="15">
        <v>25.733000000000001</v>
      </c>
      <c r="K358" s="15">
        <v>24.827999999999999</v>
      </c>
      <c r="L358" s="15">
        <v>25.465</v>
      </c>
      <c r="M358" s="15">
        <v>24.794</v>
      </c>
      <c r="N358" s="15">
        <v>25.632999999999999</v>
      </c>
      <c r="O358" s="15"/>
      <c r="P358" s="15" t="s">
        <v>113</v>
      </c>
      <c r="Q358" s="16">
        <f t="shared" ref="Q358" si="516">COUNTIF(C355:O355, "&gt;=0" )</f>
        <v>12</v>
      </c>
      <c r="S358" s="217"/>
      <c r="T358" s="217"/>
      <c r="U358" s="8" t="s">
        <v>100</v>
      </c>
      <c r="V358" s="15">
        <f t="shared" ref="V358:AH358" si="517">C358*C362</f>
        <v>5.0190000000000001</v>
      </c>
      <c r="W358" s="15">
        <f t="shared" si="517"/>
        <v>6.4874999999999998</v>
      </c>
      <c r="X358" s="15">
        <f t="shared" si="517"/>
        <v>8.1265000000000001</v>
      </c>
      <c r="Y358" s="15">
        <f t="shared" si="517"/>
        <v>9.3975000000000009</v>
      </c>
      <c r="Z358" s="15">
        <f t="shared" si="517"/>
        <v>11.052720000000001</v>
      </c>
      <c r="AA358" s="15">
        <f t="shared" si="517"/>
        <v>9.9304800000000011</v>
      </c>
      <c r="AB358" s="15">
        <f t="shared" si="517"/>
        <v>10.695839999999999</v>
      </c>
      <c r="AC358" s="15">
        <f t="shared" si="517"/>
        <v>12.8665</v>
      </c>
      <c r="AD358" s="15">
        <f t="shared" si="517"/>
        <v>12.414</v>
      </c>
      <c r="AE358" s="15">
        <f t="shared" si="517"/>
        <v>12.7325</v>
      </c>
      <c r="AF358" s="15">
        <f t="shared" si="517"/>
        <v>12.397</v>
      </c>
      <c r="AG358" s="15">
        <f t="shared" si="517"/>
        <v>13.84182</v>
      </c>
      <c r="AH358" s="15">
        <f t="shared" si="517"/>
        <v>0</v>
      </c>
      <c r="AI358" s="15">
        <f t="shared" ref="AI358" si="518">R358*R362</f>
        <v>0</v>
      </c>
      <c r="AJ358" s="23">
        <f>SUM(V358:AI358)</f>
        <v>124.96136</v>
      </c>
      <c r="AK358" s="2">
        <v>124.96136</v>
      </c>
    </row>
    <row r="359" spans="1:37" x14ac:dyDescent="0.3">
      <c r="A359" s="6"/>
      <c r="B359" s="2" t="s">
        <v>114</v>
      </c>
      <c r="C359" s="15">
        <v>9.3130000000000006</v>
      </c>
      <c r="D359" s="15">
        <v>10.801</v>
      </c>
      <c r="E359" s="15">
        <v>13.028</v>
      </c>
      <c r="F359" s="15">
        <v>15.386000000000003</v>
      </c>
      <c r="G359" s="15">
        <v>16.328999999999997</v>
      </c>
      <c r="H359" s="15">
        <v>17.724</v>
      </c>
      <c r="I359" s="15">
        <v>19.206999999999997</v>
      </c>
      <c r="J359" s="15">
        <v>22.228000000000002</v>
      </c>
      <c r="K359" s="15">
        <v>21.486000000000001</v>
      </c>
      <c r="L359" s="15">
        <v>22.782</v>
      </c>
      <c r="M359" s="15">
        <v>22.331</v>
      </c>
      <c r="N359" s="15">
        <v>24.582999999999998</v>
      </c>
      <c r="O359" s="15"/>
      <c r="P359" s="15"/>
      <c r="Q359" s="15"/>
      <c r="S359" s="6"/>
      <c r="T359" s="6"/>
      <c r="U359" s="8" t="s">
        <v>101</v>
      </c>
      <c r="V359" s="15">
        <f t="shared" ref="V359:AH359" si="519">C359*C362</f>
        <v>4.6565000000000003</v>
      </c>
      <c r="W359" s="15">
        <f t="shared" si="519"/>
        <v>5.4005000000000001</v>
      </c>
      <c r="X359" s="15">
        <f t="shared" si="519"/>
        <v>6.5140000000000002</v>
      </c>
      <c r="Y359" s="15">
        <f t="shared" si="519"/>
        <v>7.6930000000000014</v>
      </c>
      <c r="Z359" s="15">
        <f t="shared" si="519"/>
        <v>9.1442399999999999</v>
      </c>
      <c r="AA359" s="15">
        <f t="shared" si="519"/>
        <v>8.1530400000000007</v>
      </c>
      <c r="AB359" s="15">
        <f t="shared" si="519"/>
        <v>9.2193599999999982</v>
      </c>
      <c r="AC359" s="15">
        <f t="shared" si="519"/>
        <v>11.114000000000001</v>
      </c>
      <c r="AD359" s="15">
        <f t="shared" si="519"/>
        <v>10.743</v>
      </c>
      <c r="AE359" s="15">
        <f t="shared" si="519"/>
        <v>11.391</v>
      </c>
      <c r="AF359" s="15">
        <f t="shared" si="519"/>
        <v>11.1655</v>
      </c>
      <c r="AG359" s="15">
        <f t="shared" si="519"/>
        <v>13.27482</v>
      </c>
      <c r="AH359" s="15">
        <f t="shared" si="519"/>
        <v>0</v>
      </c>
      <c r="AI359" s="15">
        <f t="shared" ref="AI359" si="520">R359*R362</f>
        <v>0</v>
      </c>
      <c r="AJ359" s="23">
        <f>SUM(V359:AI359)</f>
        <v>108.46896000000001</v>
      </c>
      <c r="AK359" s="2">
        <v>108.46896000000001</v>
      </c>
    </row>
    <row r="360" spans="1:37" x14ac:dyDescent="0.3">
      <c r="A360" s="6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S360" s="6"/>
      <c r="T360" s="6"/>
      <c r="U360" s="24" t="s">
        <v>115</v>
      </c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19">
        <f>(AJ357-AJ358)/AJ357*100</f>
        <v>3.8369382802390168</v>
      </c>
      <c r="AK360" s="2">
        <v>3.8369382802390168</v>
      </c>
    </row>
    <row r="361" spans="1:37" x14ac:dyDescent="0.3">
      <c r="A361" s="6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S361" s="6"/>
      <c r="T361" s="6"/>
      <c r="U361" s="24" t="s">
        <v>103</v>
      </c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19">
        <f>AJ357-AJ359</f>
        <v>21.478399999999993</v>
      </c>
      <c r="AK361" s="2">
        <v>21.478399999999993</v>
      </c>
    </row>
    <row r="362" spans="1:37" ht="16.2" thickBot="1" x14ac:dyDescent="0.35">
      <c r="A362" s="6"/>
      <c r="B362" s="2" t="s">
        <v>32</v>
      </c>
      <c r="C362" s="15">
        <v>0.5</v>
      </c>
      <c r="D362" s="15">
        <v>0.5</v>
      </c>
      <c r="E362" s="15">
        <v>0.5</v>
      </c>
      <c r="F362" s="15">
        <v>0.5</v>
      </c>
      <c r="G362" s="15">
        <v>0.56000000000000005</v>
      </c>
      <c r="H362" s="15">
        <v>0.46</v>
      </c>
      <c r="I362" s="15">
        <v>0.48</v>
      </c>
      <c r="J362" s="15">
        <v>0.5</v>
      </c>
      <c r="K362" s="15">
        <v>0.5</v>
      </c>
      <c r="L362" s="15">
        <v>0.5</v>
      </c>
      <c r="M362" s="15">
        <v>0.5</v>
      </c>
      <c r="N362" s="15">
        <v>0.54</v>
      </c>
      <c r="O362" s="15"/>
      <c r="P362" s="15"/>
      <c r="Q362" s="15"/>
      <c r="R362" s="16"/>
      <c r="S362" s="6"/>
      <c r="T362" s="6"/>
      <c r="U362" s="8" t="s">
        <v>97</v>
      </c>
      <c r="V362" s="219"/>
      <c r="W362" s="219"/>
      <c r="X362" s="219"/>
      <c r="Y362" s="219"/>
      <c r="Z362" s="219"/>
      <c r="AA362" s="219"/>
      <c r="AB362" s="219"/>
      <c r="AC362" s="219"/>
      <c r="AD362" s="219"/>
      <c r="AE362" s="219"/>
      <c r="AF362" s="219"/>
      <c r="AG362" s="219"/>
      <c r="AH362" s="219"/>
      <c r="AI362" s="220"/>
      <c r="AJ362" s="26"/>
    </row>
    <row r="363" spans="1:37" ht="15.75" customHeight="1" x14ac:dyDescent="0.3">
      <c r="A363" s="216" t="s">
        <v>179</v>
      </c>
      <c r="B363" s="13" t="s">
        <v>98</v>
      </c>
      <c r="C363" s="14">
        <v>0</v>
      </c>
      <c r="D363" s="14">
        <v>0</v>
      </c>
      <c r="E363" s="14">
        <v>0</v>
      </c>
      <c r="F363" s="14">
        <v>0.24399999999999999</v>
      </c>
      <c r="G363" s="14">
        <v>1.204</v>
      </c>
      <c r="H363" s="14">
        <v>2.6469999999999998</v>
      </c>
      <c r="I363" s="14">
        <v>3.4369999999999998</v>
      </c>
      <c r="J363" s="14">
        <v>4.1980000000000004</v>
      </c>
      <c r="K363" s="14">
        <v>3.0270000000000001</v>
      </c>
      <c r="L363" s="14"/>
      <c r="M363" s="14"/>
      <c r="N363" s="14"/>
      <c r="O363" s="14"/>
      <c r="P363" s="15" t="s">
        <v>109</v>
      </c>
      <c r="Q363" s="16">
        <f t="shared" ref="Q363" si="521">COUNTIF(C363:N363, "&gt;0" )</f>
        <v>6</v>
      </c>
      <c r="S363" s="216" t="s">
        <v>179</v>
      </c>
      <c r="T363" s="216" t="s">
        <v>2</v>
      </c>
      <c r="U363" s="17" t="s">
        <v>98</v>
      </c>
      <c r="V363" s="18">
        <f t="shared" ref="V363:AH363" si="522">C363*C370</f>
        <v>0</v>
      </c>
      <c r="W363" s="18">
        <f t="shared" si="522"/>
        <v>0</v>
      </c>
      <c r="X363" s="18">
        <f t="shared" si="522"/>
        <v>0</v>
      </c>
      <c r="Y363" s="18">
        <f t="shared" si="522"/>
        <v>0.122</v>
      </c>
      <c r="Z363" s="18">
        <f t="shared" si="522"/>
        <v>0.55384</v>
      </c>
      <c r="AA363" s="18">
        <f t="shared" si="522"/>
        <v>1.5881999999999998</v>
      </c>
      <c r="AB363" s="18">
        <f t="shared" si="522"/>
        <v>1.3748</v>
      </c>
      <c r="AC363" s="18">
        <f t="shared" si="522"/>
        <v>2.1829600000000005</v>
      </c>
      <c r="AD363" s="18">
        <f t="shared" si="522"/>
        <v>1.8162</v>
      </c>
      <c r="AE363" s="18">
        <f t="shared" si="522"/>
        <v>0</v>
      </c>
      <c r="AF363" s="18">
        <f t="shared" si="522"/>
        <v>0</v>
      </c>
      <c r="AG363" s="18">
        <f t="shared" si="522"/>
        <v>0</v>
      </c>
      <c r="AH363" s="18">
        <f t="shared" si="522"/>
        <v>0</v>
      </c>
      <c r="AI363" s="18">
        <f t="shared" ref="AI363" si="523">R363*R370</f>
        <v>0</v>
      </c>
      <c r="AJ363" s="19">
        <f>SUM(V363:AI363)</f>
        <v>7.6379999999999999</v>
      </c>
      <c r="AK363" s="2">
        <v>7.6379999999999999</v>
      </c>
    </row>
    <row r="364" spans="1:37" ht="15.75" customHeight="1" x14ac:dyDescent="0.3">
      <c r="A364" s="217"/>
      <c r="B364" s="2" t="s">
        <v>110</v>
      </c>
      <c r="C364" s="15"/>
      <c r="D364" s="15"/>
      <c r="E364" s="15"/>
      <c r="F364" s="15" t="s">
        <v>111</v>
      </c>
      <c r="G364" s="15" t="s">
        <v>111</v>
      </c>
      <c r="H364" s="15" t="s">
        <v>145</v>
      </c>
      <c r="I364" s="15" t="s">
        <v>111</v>
      </c>
      <c r="J364" s="15" t="s">
        <v>111</v>
      </c>
      <c r="K364" s="15" t="s">
        <v>111</v>
      </c>
      <c r="L364" s="15"/>
      <c r="M364" s="15"/>
      <c r="N364" s="15"/>
      <c r="O364" s="15"/>
      <c r="P364" s="15" t="s">
        <v>105</v>
      </c>
      <c r="Q364" s="15">
        <f t="shared" ref="Q364" si="524">COUNTIF(C364:N364,"Cortex")</f>
        <v>5</v>
      </c>
      <c r="S364" s="217"/>
      <c r="T364" s="217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23"/>
    </row>
    <row r="365" spans="1:37" ht="15.75" customHeight="1" x14ac:dyDescent="0.3">
      <c r="A365" s="217"/>
      <c r="B365" s="2" t="s">
        <v>99</v>
      </c>
      <c r="C365" s="15">
        <v>14.509</v>
      </c>
      <c r="D365" s="15">
        <v>16.962</v>
      </c>
      <c r="E365" s="15">
        <v>19.962</v>
      </c>
      <c r="F365" s="15">
        <v>21.57</v>
      </c>
      <c r="G365" s="15">
        <v>23.193000000000001</v>
      </c>
      <c r="H365" s="15">
        <v>24.521999999999998</v>
      </c>
      <c r="I365" s="15">
        <v>25.335999999999999</v>
      </c>
      <c r="J365" s="15">
        <v>26.338000000000001</v>
      </c>
      <c r="K365" s="15">
        <v>26.18</v>
      </c>
      <c r="L365" s="15"/>
      <c r="M365" s="15"/>
      <c r="N365" s="15"/>
      <c r="O365" s="15"/>
      <c r="P365" s="15" t="s">
        <v>106</v>
      </c>
      <c r="Q365" s="15">
        <f t="shared" ref="Q365" si="525">Q363-Q364</f>
        <v>1</v>
      </c>
      <c r="S365" s="217"/>
      <c r="T365" s="217"/>
      <c r="U365" s="8" t="s">
        <v>99</v>
      </c>
      <c r="V365" s="15">
        <f t="shared" ref="V365:AH365" si="526">C365*C370</f>
        <v>7.2545000000000002</v>
      </c>
      <c r="W365" s="15">
        <f t="shared" si="526"/>
        <v>8.8202400000000001</v>
      </c>
      <c r="X365" s="15">
        <f t="shared" si="526"/>
        <v>8.3840400000000006</v>
      </c>
      <c r="Y365" s="15">
        <f t="shared" si="526"/>
        <v>10.785</v>
      </c>
      <c r="Z365" s="15">
        <f t="shared" si="526"/>
        <v>10.668780000000002</v>
      </c>
      <c r="AA365" s="15">
        <f t="shared" si="526"/>
        <v>14.713199999999999</v>
      </c>
      <c r="AB365" s="15">
        <f t="shared" si="526"/>
        <v>10.134399999999999</v>
      </c>
      <c r="AC365" s="15">
        <f t="shared" si="526"/>
        <v>13.695760000000002</v>
      </c>
      <c r="AD365" s="15">
        <f t="shared" si="526"/>
        <v>15.707999999999998</v>
      </c>
      <c r="AE365" s="15">
        <f t="shared" si="526"/>
        <v>0</v>
      </c>
      <c r="AF365" s="15">
        <f t="shared" si="526"/>
        <v>0</v>
      </c>
      <c r="AG365" s="15">
        <f t="shared" si="526"/>
        <v>0</v>
      </c>
      <c r="AH365" s="15">
        <f t="shared" si="526"/>
        <v>0</v>
      </c>
      <c r="AI365" s="15">
        <f t="shared" ref="AI365" si="527">R365*R370</f>
        <v>0</v>
      </c>
      <c r="AJ365" s="23">
        <f>SUM(V365:AI365)</f>
        <v>100.16392</v>
      </c>
      <c r="AK365" s="2">
        <v>100.16392</v>
      </c>
    </row>
    <row r="366" spans="1:37" ht="15.75" customHeight="1" x14ac:dyDescent="0.3">
      <c r="A366" s="217"/>
      <c r="B366" s="2" t="s">
        <v>100</v>
      </c>
      <c r="C366" s="15">
        <v>12.815</v>
      </c>
      <c r="D366" s="15">
        <v>15.375</v>
      </c>
      <c r="E366" s="15">
        <v>17.811</v>
      </c>
      <c r="F366" s="15">
        <v>19.952999999999999</v>
      </c>
      <c r="G366" s="15">
        <v>21.428999999999998</v>
      </c>
      <c r="H366" s="15">
        <v>22.8</v>
      </c>
      <c r="I366" s="15">
        <v>24.47</v>
      </c>
      <c r="J366" s="15">
        <v>25.765000000000001</v>
      </c>
      <c r="K366" s="15">
        <v>25.95</v>
      </c>
      <c r="L366" s="15"/>
      <c r="M366" s="15"/>
      <c r="N366" s="15"/>
      <c r="O366" s="15"/>
      <c r="P366" s="15" t="s">
        <v>113</v>
      </c>
      <c r="Q366" s="16">
        <f t="shared" ref="Q366" si="528">COUNTIF(C363:O363, "&gt;=0" )</f>
        <v>9</v>
      </c>
      <c r="S366" s="217"/>
      <c r="T366" s="217"/>
      <c r="U366" s="8" t="s">
        <v>100</v>
      </c>
      <c r="V366" s="15">
        <f t="shared" ref="V366:AH366" si="529">C366*C370</f>
        <v>6.4074999999999998</v>
      </c>
      <c r="W366" s="15">
        <f t="shared" si="529"/>
        <v>7.9950000000000001</v>
      </c>
      <c r="X366" s="15">
        <f t="shared" si="529"/>
        <v>7.4806200000000009</v>
      </c>
      <c r="Y366" s="15">
        <f t="shared" si="529"/>
        <v>9.9764999999999997</v>
      </c>
      <c r="Z366" s="15">
        <f t="shared" si="529"/>
        <v>9.8573399999999989</v>
      </c>
      <c r="AA366" s="15">
        <f t="shared" si="529"/>
        <v>13.68</v>
      </c>
      <c r="AB366" s="15">
        <f t="shared" si="529"/>
        <v>9.7880000000000003</v>
      </c>
      <c r="AC366" s="15">
        <f t="shared" si="529"/>
        <v>13.3978</v>
      </c>
      <c r="AD366" s="15">
        <f t="shared" si="529"/>
        <v>15.569999999999999</v>
      </c>
      <c r="AE366" s="15">
        <f t="shared" si="529"/>
        <v>0</v>
      </c>
      <c r="AF366" s="15">
        <f t="shared" si="529"/>
        <v>0</v>
      </c>
      <c r="AG366" s="15">
        <f t="shared" si="529"/>
        <v>0</v>
      </c>
      <c r="AH366" s="15">
        <f t="shared" si="529"/>
        <v>0</v>
      </c>
      <c r="AI366" s="15">
        <f t="shared" ref="AI366" si="530">R366*R370</f>
        <v>0</v>
      </c>
      <c r="AJ366" s="23">
        <f>SUM(V366:AI366)</f>
        <v>94.152760000000001</v>
      </c>
      <c r="AK366" s="2">
        <v>94.152760000000001</v>
      </c>
    </row>
    <row r="367" spans="1:37" x14ac:dyDescent="0.3">
      <c r="A367" s="217"/>
      <c r="B367" s="2" t="s">
        <v>114</v>
      </c>
      <c r="C367" s="15">
        <v>12.815</v>
      </c>
      <c r="D367" s="15">
        <v>15.375</v>
      </c>
      <c r="E367" s="15">
        <v>17.811</v>
      </c>
      <c r="F367" s="15">
        <v>19.709</v>
      </c>
      <c r="G367" s="15">
        <v>20.224999999999998</v>
      </c>
      <c r="H367" s="15">
        <v>20.153000000000002</v>
      </c>
      <c r="I367" s="15">
        <v>21.032999999999998</v>
      </c>
      <c r="J367" s="15">
        <v>21.567</v>
      </c>
      <c r="K367" s="15">
        <v>22.922999999999998</v>
      </c>
      <c r="L367" s="15"/>
      <c r="M367" s="15"/>
      <c r="N367" s="15"/>
      <c r="O367" s="15"/>
      <c r="P367" s="15"/>
      <c r="Q367" s="15"/>
      <c r="S367" s="217"/>
      <c r="T367" s="217"/>
      <c r="U367" s="8" t="s">
        <v>101</v>
      </c>
      <c r="V367" s="15">
        <f t="shared" ref="V367:AH367" si="531">C367*C370</f>
        <v>6.4074999999999998</v>
      </c>
      <c r="W367" s="15">
        <f t="shared" si="531"/>
        <v>7.9950000000000001</v>
      </c>
      <c r="X367" s="15">
        <f t="shared" si="531"/>
        <v>7.4806200000000009</v>
      </c>
      <c r="Y367" s="15">
        <f t="shared" si="531"/>
        <v>9.8544999999999998</v>
      </c>
      <c r="Z367" s="15">
        <f t="shared" si="531"/>
        <v>9.3034999999999997</v>
      </c>
      <c r="AA367" s="15">
        <f t="shared" si="531"/>
        <v>12.091800000000001</v>
      </c>
      <c r="AB367" s="15">
        <f t="shared" si="531"/>
        <v>8.4131999999999998</v>
      </c>
      <c r="AC367" s="15">
        <f t="shared" si="531"/>
        <v>11.214840000000001</v>
      </c>
      <c r="AD367" s="15">
        <f t="shared" si="531"/>
        <v>13.753799999999998</v>
      </c>
      <c r="AE367" s="15">
        <f t="shared" si="531"/>
        <v>0</v>
      </c>
      <c r="AF367" s="15">
        <f t="shared" si="531"/>
        <v>0</v>
      </c>
      <c r="AG367" s="15">
        <f t="shared" si="531"/>
        <v>0</v>
      </c>
      <c r="AH367" s="15">
        <f t="shared" si="531"/>
        <v>0</v>
      </c>
      <c r="AI367" s="15">
        <f t="shared" ref="AI367" si="532">R367*R370</f>
        <v>0</v>
      </c>
      <c r="AJ367" s="23">
        <f>SUM(V367:AI367)</f>
        <v>86.514759999999995</v>
      </c>
      <c r="AK367" s="2">
        <v>86.514759999999995</v>
      </c>
    </row>
    <row r="368" spans="1:37" x14ac:dyDescent="0.3">
      <c r="A368" s="217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S368" s="217"/>
      <c r="T368" s="217"/>
      <c r="U368" s="24" t="s">
        <v>115</v>
      </c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19">
        <f>(AJ365-AJ366)/AJ365*100</f>
        <v>6.0013226319417248</v>
      </c>
      <c r="AK368" s="2">
        <v>6.0013226319417248</v>
      </c>
    </row>
    <row r="369" spans="1:37" x14ac:dyDescent="0.3">
      <c r="A369" s="217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S369" s="217"/>
      <c r="T369" s="217"/>
      <c r="U369" s="24" t="s">
        <v>103</v>
      </c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19">
        <f>AJ365-AJ367</f>
        <v>13.649160000000009</v>
      </c>
      <c r="AK369" s="2">
        <v>13.649160000000009</v>
      </c>
    </row>
    <row r="370" spans="1:37" ht="16.2" thickBot="1" x14ac:dyDescent="0.35">
      <c r="A370" s="218"/>
      <c r="B370" s="28" t="s">
        <v>32</v>
      </c>
      <c r="C370" s="29">
        <v>0.5</v>
      </c>
      <c r="D370" s="29">
        <v>0.52</v>
      </c>
      <c r="E370" s="29">
        <v>0.42000000000000004</v>
      </c>
      <c r="F370" s="29">
        <v>0.5</v>
      </c>
      <c r="G370" s="29">
        <v>0.46</v>
      </c>
      <c r="H370" s="29">
        <v>0.6</v>
      </c>
      <c r="I370" s="29">
        <v>0.4</v>
      </c>
      <c r="J370" s="29">
        <v>0.52</v>
      </c>
      <c r="K370" s="29">
        <v>0.6</v>
      </c>
      <c r="L370" s="29"/>
      <c r="M370" s="29"/>
      <c r="N370" s="29"/>
      <c r="O370" s="29"/>
      <c r="P370" s="15"/>
      <c r="Q370" s="15"/>
      <c r="R370" s="16"/>
      <c r="S370" s="218"/>
      <c r="T370" s="217"/>
      <c r="U370" s="8" t="s">
        <v>97</v>
      </c>
      <c r="V370" s="219"/>
      <c r="W370" s="219"/>
      <c r="X370" s="219"/>
      <c r="Y370" s="219"/>
      <c r="Z370" s="219"/>
      <c r="AA370" s="219"/>
      <c r="AB370" s="219"/>
      <c r="AC370" s="219"/>
      <c r="AD370" s="219"/>
      <c r="AE370" s="219"/>
      <c r="AF370" s="219"/>
      <c r="AG370" s="219"/>
      <c r="AH370" s="219"/>
      <c r="AI370" s="220"/>
      <c r="AJ370" s="26"/>
    </row>
  </sheetData>
  <mergeCells count="186">
    <mergeCell ref="V362:AI362"/>
    <mergeCell ref="A363:A370"/>
    <mergeCell ref="S363:S370"/>
    <mergeCell ref="T363:T370"/>
    <mergeCell ref="V370:AI370"/>
    <mergeCell ref="V346:AI346"/>
    <mergeCell ref="A347:A350"/>
    <mergeCell ref="S347:S350"/>
    <mergeCell ref="T347:T350"/>
    <mergeCell ref="V354:AI354"/>
    <mergeCell ref="A355:A358"/>
    <mergeCell ref="S355:S358"/>
    <mergeCell ref="T355:T358"/>
    <mergeCell ref="V330:AI330"/>
    <mergeCell ref="A331:A334"/>
    <mergeCell ref="S331:S334"/>
    <mergeCell ref="T331:T334"/>
    <mergeCell ref="V338:AI338"/>
    <mergeCell ref="A339:A342"/>
    <mergeCell ref="S339:S342"/>
    <mergeCell ref="T339:T342"/>
    <mergeCell ref="V314:AI314"/>
    <mergeCell ref="A315:A318"/>
    <mergeCell ref="S315:S318"/>
    <mergeCell ref="T315:T318"/>
    <mergeCell ref="V322:AI322"/>
    <mergeCell ref="A323:A326"/>
    <mergeCell ref="S323:S326"/>
    <mergeCell ref="T323:T326"/>
    <mergeCell ref="V298:AI298"/>
    <mergeCell ref="A299:A302"/>
    <mergeCell ref="S299:S302"/>
    <mergeCell ref="T299:T302"/>
    <mergeCell ref="V306:AI306"/>
    <mergeCell ref="A307:A310"/>
    <mergeCell ref="S307:S310"/>
    <mergeCell ref="T307:T310"/>
    <mergeCell ref="V282:AI282"/>
    <mergeCell ref="A283:A286"/>
    <mergeCell ref="S283:S286"/>
    <mergeCell ref="T283:T286"/>
    <mergeCell ref="V290:AI290"/>
    <mergeCell ref="A291:A294"/>
    <mergeCell ref="S291:S294"/>
    <mergeCell ref="T291:T294"/>
    <mergeCell ref="V266:AI266"/>
    <mergeCell ref="A267:A270"/>
    <mergeCell ref="S267:S270"/>
    <mergeCell ref="T267:T270"/>
    <mergeCell ref="V274:AI274"/>
    <mergeCell ref="A275:A278"/>
    <mergeCell ref="S275:S278"/>
    <mergeCell ref="T275:T278"/>
    <mergeCell ref="V250:AI250"/>
    <mergeCell ref="A251:A254"/>
    <mergeCell ref="S251:S254"/>
    <mergeCell ref="T251:T254"/>
    <mergeCell ref="V258:AI258"/>
    <mergeCell ref="A259:A262"/>
    <mergeCell ref="S259:S262"/>
    <mergeCell ref="T259:T262"/>
    <mergeCell ref="V234:AI234"/>
    <mergeCell ref="A235:A238"/>
    <mergeCell ref="S235:S238"/>
    <mergeCell ref="T235:T238"/>
    <mergeCell ref="V242:AI242"/>
    <mergeCell ref="A243:A246"/>
    <mergeCell ref="S243:S246"/>
    <mergeCell ref="T243:T246"/>
    <mergeCell ref="V218:AI218"/>
    <mergeCell ref="A219:A222"/>
    <mergeCell ref="S219:S222"/>
    <mergeCell ref="T219:T222"/>
    <mergeCell ref="V226:AI226"/>
    <mergeCell ref="A227:A230"/>
    <mergeCell ref="S227:S230"/>
    <mergeCell ref="T227:T230"/>
    <mergeCell ref="V202:AI202"/>
    <mergeCell ref="A203:A206"/>
    <mergeCell ref="S203:S206"/>
    <mergeCell ref="T203:T206"/>
    <mergeCell ref="V210:AI210"/>
    <mergeCell ref="A211:A214"/>
    <mergeCell ref="S211:S214"/>
    <mergeCell ref="T211:T214"/>
    <mergeCell ref="V186:AI186"/>
    <mergeCell ref="A187:A190"/>
    <mergeCell ref="S187:S190"/>
    <mergeCell ref="T187:T190"/>
    <mergeCell ref="V194:AI194"/>
    <mergeCell ref="A195:A198"/>
    <mergeCell ref="S195:S198"/>
    <mergeCell ref="T195:T198"/>
    <mergeCell ref="V170:AI170"/>
    <mergeCell ref="A171:A174"/>
    <mergeCell ref="S171:S174"/>
    <mergeCell ref="T171:T174"/>
    <mergeCell ref="V178:AI178"/>
    <mergeCell ref="A179:A182"/>
    <mergeCell ref="S179:S182"/>
    <mergeCell ref="T179:T182"/>
    <mergeCell ref="V154:AI154"/>
    <mergeCell ref="A155:A158"/>
    <mergeCell ref="S155:S158"/>
    <mergeCell ref="T155:T158"/>
    <mergeCell ref="V162:AI162"/>
    <mergeCell ref="A163:A166"/>
    <mergeCell ref="S163:S166"/>
    <mergeCell ref="T163:T166"/>
    <mergeCell ref="V138:AI138"/>
    <mergeCell ref="A139:A142"/>
    <mergeCell ref="S139:S142"/>
    <mergeCell ref="T139:T142"/>
    <mergeCell ref="V146:AI146"/>
    <mergeCell ref="A147:A150"/>
    <mergeCell ref="S147:S150"/>
    <mergeCell ref="T147:T150"/>
    <mergeCell ref="V122:AI122"/>
    <mergeCell ref="A123:A126"/>
    <mergeCell ref="S123:S126"/>
    <mergeCell ref="T123:T126"/>
    <mergeCell ref="V130:AI130"/>
    <mergeCell ref="A131:A134"/>
    <mergeCell ref="S131:S134"/>
    <mergeCell ref="T131:T134"/>
    <mergeCell ref="A107:A114"/>
    <mergeCell ref="S107:S114"/>
    <mergeCell ref="T107:T110"/>
    <mergeCell ref="V114:AI114"/>
    <mergeCell ref="A115:A118"/>
    <mergeCell ref="S115:S118"/>
    <mergeCell ref="T115:T118"/>
    <mergeCell ref="A91:A98"/>
    <mergeCell ref="S91:S98"/>
    <mergeCell ref="T91:T94"/>
    <mergeCell ref="V98:AI98"/>
    <mergeCell ref="A99:A106"/>
    <mergeCell ref="S99:S106"/>
    <mergeCell ref="T99:T102"/>
    <mergeCell ref="V106:AI106"/>
    <mergeCell ref="A75:A78"/>
    <mergeCell ref="S75:S78"/>
    <mergeCell ref="T75:T78"/>
    <mergeCell ref="V82:AI82"/>
    <mergeCell ref="A83:A90"/>
    <mergeCell ref="S83:S90"/>
    <mergeCell ref="T83:T86"/>
    <mergeCell ref="V90:AI90"/>
    <mergeCell ref="V58:AI58"/>
    <mergeCell ref="A59:A62"/>
    <mergeCell ref="S59:S62"/>
    <mergeCell ref="T59:T62"/>
    <mergeCell ref="V66:AI66"/>
    <mergeCell ref="A67:A74"/>
    <mergeCell ref="S67:S74"/>
    <mergeCell ref="T67:T74"/>
    <mergeCell ref="V74:AI74"/>
    <mergeCell ref="V42:AI42"/>
    <mergeCell ref="A43:A46"/>
    <mergeCell ref="S43:S46"/>
    <mergeCell ref="T43:T46"/>
    <mergeCell ref="V50:AI50"/>
    <mergeCell ref="A51:A54"/>
    <mergeCell ref="S51:S54"/>
    <mergeCell ref="T51:T54"/>
    <mergeCell ref="A27:A30"/>
    <mergeCell ref="S27:S30"/>
    <mergeCell ref="T27:T30"/>
    <mergeCell ref="V34:AI34"/>
    <mergeCell ref="A35:A38"/>
    <mergeCell ref="S35:S38"/>
    <mergeCell ref="T35:T38"/>
    <mergeCell ref="A11:A18"/>
    <mergeCell ref="S11:S18"/>
    <mergeCell ref="T11:T14"/>
    <mergeCell ref="V18:AI18"/>
    <mergeCell ref="A19:A26"/>
    <mergeCell ref="S19:S26"/>
    <mergeCell ref="T19:T22"/>
    <mergeCell ref="V26:AI26"/>
    <mergeCell ref="A1:R1"/>
    <mergeCell ref="S1:AJ1"/>
    <mergeCell ref="A3:A10"/>
    <mergeCell ref="S3:S10"/>
    <mergeCell ref="T3:T7"/>
    <mergeCell ref="V10:AI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zoomScale="50" zoomScaleNormal="50" workbookViewId="0">
      <selection sqref="A1:D1"/>
    </sheetView>
  </sheetViews>
  <sheetFormatPr defaultColWidth="8.796875" defaultRowHeight="15.6" x14ac:dyDescent="0.3"/>
  <cols>
    <col min="4" max="4" width="25.296875" customWidth="1"/>
  </cols>
  <sheetData>
    <row r="1" spans="1:4" ht="25.8" x14ac:dyDescent="0.3">
      <c r="A1" s="226" t="s">
        <v>301</v>
      </c>
      <c r="B1" s="226"/>
      <c r="C1" s="226"/>
      <c r="D1" s="226"/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67"/>
  <sheetViews>
    <sheetView zoomScale="70" zoomScaleNormal="70" workbookViewId="0">
      <selection activeCell="T21" sqref="T21"/>
    </sheetView>
  </sheetViews>
  <sheetFormatPr defaultColWidth="10.796875" defaultRowHeight="15.6" x14ac:dyDescent="0.3"/>
  <cols>
    <col min="1" max="1" width="13" style="138" customWidth="1"/>
    <col min="2" max="3" width="12.69921875" style="138" customWidth="1"/>
    <col min="4" max="4" width="22.69921875" style="138" customWidth="1"/>
    <col min="5" max="7" width="10.796875" style="138"/>
    <col min="8" max="8" width="11" style="138" customWidth="1"/>
    <col min="9" max="11" width="10.796875" style="138"/>
    <col min="12" max="14" width="10.796875" style="138" bestFit="1" customWidth="1"/>
    <col min="15" max="15" width="12.69921875" style="138" customWidth="1"/>
    <col min="16" max="21" width="10.796875" style="138" bestFit="1" customWidth="1"/>
    <col min="22" max="22" width="12.69921875" style="138" customWidth="1"/>
    <col min="23" max="28" width="10.796875" style="138" bestFit="1" customWidth="1"/>
    <col min="29" max="29" width="12.69921875" style="138" customWidth="1"/>
    <col min="30" max="32" width="10.796875" style="138" bestFit="1" customWidth="1"/>
    <col min="33" max="34" width="14.19921875" style="138" bestFit="1" customWidth="1"/>
    <col min="35" max="36" width="12.796875" style="138" bestFit="1" customWidth="1"/>
    <col min="37" max="37" width="11.296875" style="138" bestFit="1" customWidth="1"/>
    <col min="38" max="38" width="12.796875" style="138" bestFit="1" customWidth="1"/>
    <col min="39" max="41" width="11.296875" style="138" bestFit="1" customWidth="1"/>
    <col min="42" max="42" width="10.796875" style="138" bestFit="1" customWidth="1"/>
    <col min="43" max="43" width="12.796875" style="138" bestFit="1" customWidth="1"/>
    <col min="44" max="46" width="11.296875" style="138" bestFit="1" customWidth="1"/>
    <col min="47" max="47" width="10.796875" style="138" bestFit="1" customWidth="1"/>
    <col min="48" max="49" width="11.296875" style="138" bestFit="1" customWidth="1"/>
    <col min="50" max="52" width="10.796875" style="138" bestFit="1" customWidth="1"/>
    <col min="53" max="53" width="27.69921875" style="138" customWidth="1"/>
    <col min="54" max="16384" width="10.796875" style="138"/>
  </cols>
  <sheetData>
    <row r="1" spans="1:52" ht="16.2" thickBot="1" x14ac:dyDescent="0.35">
      <c r="A1" s="227"/>
      <c r="B1" s="228"/>
      <c r="C1" s="228"/>
      <c r="D1" s="228"/>
      <c r="E1" s="229" t="s">
        <v>307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 t="s">
        <v>190</v>
      </c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0"/>
      <c r="AV1" s="230"/>
      <c r="AW1" s="230"/>
      <c r="AX1" s="230"/>
      <c r="AY1" s="230"/>
      <c r="AZ1" s="231"/>
    </row>
    <row r="2" spans="1:52" ht="21.45" customHeight="1" thickBot="1" x14ac:dyDescent="0.35">
      <c r="A2" s="227"/>
      <c r="B2" s="228"/>
      <c r="C2" s="228"/>
      <c r="D2" s="228"/>
      <c r="E2" s="232" t="s">
        <v>191</v>
      </c>
      <c r="F2" s="232"/>
      <c r="G2" s="232"/>
      <c r="H2" s="232"/>
      <c r="I2" s="232"/>
      <c r="J2" s="232"/>
      <c r="K2" s="232"/>
      <c r="L2" s="233" t="s">
        <v>305</v>
      </c>
      <c r="M2" s="233"/>
      <c r="N2" s="233"/>
      <c r="O2" s="233"/>
      <c r="P2" s="233"/>
      <c r="Q2" s="233"/>
      <c r="R2" s="233"/>
      <c r="S2" s="234" t="s">
        <v>306</v>
      </c>
      <c r="T2" s="234"/>
      <c r="U2" s="234"/>
      <c r="V2" s="234"/>
      <c r="W2" s="234"/>
      <c r="X2" s="234"/>
      <c r="Y2" s="234"/>
      <c r="Z2" s="235" t="s">
        <v>192</v>
      </c>
      <c r="AA2" s="235"/>
      <c r="AB2" s="235"/>
      <c r="AC2" s="235"/>
      <c r="AD2" s="235"/>
      <c r="AE2" s="235"/>
      <c r="AF2" s="235"/>
      <c r="AG2" s="232" t="s">
        <v>191</v>
      </c>
      <c r="AH2" s="232"/>
      <c r="AI2" s="232"/>
      <c r="AJ2" s="232"/>
      <c r="AK2" s="232"/>
      <c r="AL2" s="236" t="s">
        <v>305</v>
      </c>
      <c r="AM2" s="236"/>
      <c r="AN2" s="236"/>
      <c r="AO2" s="236"/>
      <c r="AP2" s="236"/>
      <c r="AQ2" s="234" t="s">
        <v>306</v>
      </c>
      <c r="AR2" s="234"/>
      <c r="AS2" s="234"/>
      <c r="AT2" s="234"/>
      <c r="AU2" s="234"/>
      <c r="AV2" s="235" t="s">
        <v>192</v>
      </c>
      <c r="AW2" s="235"/>
      <c r="AX2" s="235"/>
      <c r="AY2" s="235"/>
      <c r="AZ2" s="237"/>
    </row>
    <row r="3" spans="1:52" s="139" customFormat="1" ht="37.799999999999997" customHeight="1" thickBot="1" x14ac:dyDescent="0.35">
      <c r="A3" s="126" t="s">
        <v>1</v>
      </c>
      <c r="B3" s="137" t="s">
        <v>338</v>
      </c>
      <c r="C3" s="137" t="s">
        <v>247</v>
      </c>
      <c r="D3" s="137" t="s">
        <v>302</v>
      </c>
      <c r="E3" s="127" t="s">
        <v>194</v>
      </c>
      <c r="F3" s="127" t="s">
        <v>195</v>
      </c>
      <c r="G3" s="127" t="s">
        <v>196</v>
      </c>
      <c r="H3" s="127" t="s">
        <v>197</v>
      </c>
      <c r="I3" s="127" t="s">
        <v>198</v>
      </c>
      <c r="J3" s="127" t="s">
        <v>199</v>
      </c>
      <c r="K3" s="127" t="s">
        <v>200</v>
      </c>
      <c r="L3" s="127" t="s">
        <v>201</v>
      </c>
      <c r="M3" s="127" t="s">
        <v>202</v>
      </c>
      <c r="N3" s="127" t="s">
        <v>203</v>
      </c>
      <c r="O3" s="127" t="s">
        <v>204</v>
      </c>
      <c r="P3" s="127" t="s">
        <v>205</v>
      </c>
      <c r="Q3" s="127" t="s">
        <v>206</v>
      </c>
      <c r="R3" s="127" t="s">
        <v>207</v>
      </c>
      <c r="S3" s="127" t="s">
        <v>208</v>
      </c>
      <c r="T3" s="127" t="s">
        <v>209</v>
      </c>
      <c r="U3" s="127" t="s">
        <v>210</v>
      </c>
      <c r="V3" s="127" t="s">
        <v>211</v>
      </c>
      <c r="W3" s="127" t="s">
        <v>212</v>
      </c>
      <c r="X3" s="127" t="s">
        <v>213</v>
      </c>
      <c r="Y3" s="127" t="s">
        <v>214</v>
      </c>
      <c r="Z3" s="127" t="s">
        <v>215</v>
      </c>
      <c r="AA3" s="127" t="s">
        <v>216</v>
      </c>
      <c r="AB3" s="127" t="s">
        <v>217</v>
      </c>
      <c r="AC3" s="127" t="s">
        <v>218</v>
      </c>
      <c r="AD3" s="127" t="s">
        <v>219</v>
      </c>
      <c r="AE3" s="127" t="s">
        <v>220</v>
      </c>
      <c r="AF3" s="127" t="s">
        <v>221</v>
      </c>
      <c r="AG3" s="127" t="s">
        <v>222</v>
      </c>
      <c r="AH3" s="127" t="s">
        <v>223</v>
      </c>
      <c r="AI3" s="127" t="s">
        <v>224</v>
      </c>
      <c r="AJ3" s="127" t="s">
        <v>225</v>
      </c>
      <c r="AK3" s="127" t="s">
        <v>226</v>
      </c>
      <c r="AL3" s="127" t="s">
        <v>227</v>
      </c>
      <c r="AM3" s="127" t="s">
        <v>228</v>
      </c>
      <c r="AN3" s="127" t="s">
        <v>229</v>
      </c>
      <c r="AO3" s="127" t="s">
        <v>230</v>
      </c>
      <c r="AP3" s="127" t="s">
        <v>231</v>
      </c>
      <c r="AQ3" s="127" t="s">
        <v>232</v>
      </c>
      <c r="AR3" s="127" t="s">
        <v>233</v>
      </c>
      <c r="AS3" s="127" t="s">
        <v>234</v>
      </c>
      <c r="AT3" s="127" t="s">
        <v>235</v>
      </c>
      <c r="AU3" s="127" t="s">
        <v>236</v>
      </c>
      <c r="AV3" s="127" t="s">
        <v>237</v>
      </c>
      <c r="AW3" s="127" t="s">
        <v>238</v>
      </c>
      <c r="AX3" s="127" t="s">
        <v>239</v>
      </c>
      <c r="AY3" s="127" t="s">
        <v>240</v>
      </c>
      <c r="AZ3" s="143" t="s">
        <v>241</v>
      </c>
    </row>
    <row r="4" spans="1:52" x14ac:dyDescent="0.3">
      <c r="A4" s="114" t="s">
        <v>316</v>
      </c>
      <c r="B4" s="116" t="s">
        <v>249</v>
      </c>
      <c r="C4" s="116" t="s">
        <v>245</v>
      </c>
      <c r="D4" s="72" t="s">
        <v>334</v>
      </c>
      <c r="E4" s="180">
        <v>37.1</v>
      </c>
      <c r="F4" s="173">
        <v>58.1</v>
      </c>
      <c r="G4" s="173">
        <v>35.299999999999997</v>
      </c>
      <c r="H4" s="173">
        <f t="shared" ref="H4:H35" si="0">F4/G4</f>
        <v>1.6458923512747876</v>
      </c>
      <c r="I4" s="173">
        <v>6.13</v>
      </c>
      <c r="J4" s="173">
        <v>12</v>
      </c>
      <c r="K4" s="174">
        <v>5.96</v>
      </c>
      <c r="L4" s="171">
        <v>58.9</v>
      </c>
      <c r="M4" s="129">
        <v>51.7</v>
      </c>
      <c r="N4" s="129">
        <v>35.9</v>
      </c>
      <c r="O4" s="129">
        <f t="shared" ref="O4:O35" si="1">M4/N4</f>
        <v>1.4401114206128136</v>
      </c>
      <c r="P4" s="129">
        <v>9.6</v>
      </c>
      <c r="Q4" s="129">
        <v>5.19</v>
      </c>
      <c r="R4" s="177">
        <v>3.6</v>
      </c>
      <c r="S4" s="180">
        <v>64.3</v>
      </c>
      <c r="T4" s="173">
        <v>55.7</v>
      </c>
      <c r="U4" s="173">
        <v>42.2</v>
      </c>
      <c r="V4" s="173">
        <f t="shared" ref="V4:V35" si="2">T4/U4</f>
        <v>1.3199052132701421</v>
      </c>
      <c r="W4" s="173">
        <v>8.65</v>
      </c>
      <c r="X4" s="173">
        <v>10.5</v>
      </c>
      <c r="Y4" s="174">
        <v>8.09</v>
      </c>
      <c r="Z4" s="179"/>
      <c r="AA4" s="131"/>
      <c r="AB4" s="131"/>
      <c r="AC4" s="130"/>
      <c r="AD4" s="131"/>
      <c r="AE4" s="131"/>
      <c r="AF4" s="183"/>
      <c r="AG4" s="187">
        <v>15473660</v>
      </c>
      <c r="AH4" s="188">
        <f t="shared" ref="AH4:AH34" si="3">AG4*E4/100</f>
        <v>5740727.8600000003</v>
      </c>
      <c r="AI4" s="188">
        <f t="shared" ref="AI4:AI34" si="4">AH4*F4/100</f>
        <v>3335362.8866600003</v>
      </c>
      <c r="AJ4" s="188">
        <f t="shared" ref="AJ4:AJ34" si="5">AH4*G4/100</f>
        <v>2026476.9345800001</v>
      </c>
      <c r="AK4" s="189">
        <f t="shared" ref="AK4:AK34" si="6">AI4*K4/100</f>
        <v>198787.62804493602</v>
      </c>
      <c r="AL4" s="184">
        <v>524775</v>
      </c>
      <c r="AM4" s="133">
        <f t="shared" ref="AM4:AM34" si="7">AL4*L4/100</f>
        <v>309092.47499999998</v>
      </c>
      <c r="AN4" s="133">
        <f t="shared" ref="AN4:AN34" si="8">AM4*M4/100</f>
        <v>159800.80957499999</v>
      </c>
      <c r="AO4" s="133">
        <f t="shared" ref="AO4:AO34" si="9">AM4*N4/100</f>
        <v>110964.19852499999</v>
      </c>
      <c r="AP4" s="196">
        <f t="shared" ref="AP4:AP34" si="10">AN4*R4/100</f>
        <v>5752.8291446999992</v>
      </c>
      <c r="AQ4" s="187">
        <v>490693</v>
      </c>
      <c r="AR4" s="188">
        <f t="shared" ref="AR4:AR34" si="11">AQ4*S4/100</f>
        <v>315515.59899999999</v>
      </c>
      <c r="AS4" s="188">
        <f t="shared" ref="AS4:AS34" si="12">AR4*T4/100</f>
        <v>175742.188643</v>
      </c>
      <c r="AT4" s="188">
        <f t="shared" ref="AT4:AT34" si="13">AR4*U4/100</f>
        <v>133147.58277800001</v>
      </c>
      <c r="AU4" s="189">
        <f t="shared" ref="AU4:AU34" si="14">AS4*Y4/100</f>
        <v>14217.543061218699</v>
      </c>
      <c r="AV4" s="185"/>
      <c r="AW4" s="134"/>
      <c r="AX4" s="134"/>
      <c r="AY4" s="134"/>
      <c r="AZ4" s="140"/>
    </row>
    <row r="5" spans="1:52" x14ac:dyDescent="0.3">
      <c r="A5" s="114" t="s">
        <v>317</v>
      </c>
      <c r="B5" s="116" t="s">
        <v>249</v>
      </c>
      <c r="C5" s="116" t="s">
        <v>245</v>
      </c>
      <c r="D5" s="72" t="s">
        <v>91</v>
      </c>
      <c r="E5" s="181">
        <v>39.299999999999997</v>
      </c>
      <c r="F5" s="129">
        <v>55.1</v>
      </c>
      <c r="G5" s="129">
        <v>38.700000000000003</v>
      </c>
      <c r="H5" s="129">
        <f t="shared" si="0"/>
        <v>1.4237726098191215</v>
      </c>
      <c r="I5" s="129">
        <v>9.6199999999999992</v>
      </c>
      <c r="J5" s="129">
        <v>14.2</v>
      </c>
      <c r="K5" s="175">
        <v>7.41</v>
      </c>
      <c r="L5" s="171">
        <v>43.7</v>
      </c>
      <c r="M5" s="129">
        <v>56.9</v>
      </c>
      <c r="N5" s="129">
        <v>30.9</v>
      </c>
      <c r="O5" s="129">
        <f t="shared" si="1"/>
        <v>1.8414239482200647</v>
      </c>
      <c r="P5" s="129">
        <v>10.1</v>
      </c>
      <c r="Q5" s="129">
        <v>9</v>
      </c>
      <c r="R5" s="177">
        <v>5.09</v>
      </c>
      <c r="S5" s="181">
        <v>49.9</v>
      </c>
      <c r="T5" s="129">
        <v>55.5</v>
      </c>
      <c r="U5" s="129">
        <v>40.700000000000003</v>
      </c>
      <c r="V5" s="129">
        <f t="shared" si="2"/>
        <v>1.3636363636363635</v>
      </c>
      <c r="W5" s="129">
        <v>13</v>
      </c>
      <c r="X5" s="129">
        <v>8.5399999999999991</v>
      </c>
      <c r="Y5" s="175">
        <v>6.3</v>
      </c>
      <c r="Z5" s="171">
        <v>37.5</v>
      </c>
      <c r="AA5" s="129">
        <v>53.3</v>
      </c>
      <c r="AB5" s="129">
        <v>41.9</v>
      </c>
      <c r="AC5" s="129">
        <f t="shared" ref="AC5:AC36" si="15">AA5/AB5</f>
        <v>1.2720763723150357</v>
      </c>
      <c r="AD5" s="129">
        <v>4.4800000000000004</v>
      </c>
      <c r="AE5" s="129">
        <v>6.14</v>
      </c>
      <c r="AF5" s="177">
        <v>4.09</v>
      </c>
      <c r="AG5" s="190">
        <f>15333561*10400/10800</f>
        <v>14765651.333333334</v>
      </c>
      <c r="AH5" s="133">
        <f t="shared" si="3"/>
        <v>5802900.9739999995</v>
      </c>
      <c r="AI5" s="133">
        <f t="shared" si="4"/>
        <v>3197398.4366740002</v>
      </c>
      <c r="AJ5" s="133">
        <f t="shared" si="5"/>
        <v>2245722.6769380001</v>
      </c>
      <c r="AK5" s="191">
        <f t="shared" si="6"/>
        <v>236927.22415754342</v>
      </c>
      <c r="AL5" s="184">
        <v>635228</v>
      </c>
      <c r="AM5" s="133">
        <f t="shared" si="7"/>
        <v>277594.636</v>
      </c>
      <c r="AN5" s="133">
        <f t="shared" si="8"/>
        <v>157951.34788399999</v>
      </c>
      <c r="AO5" s="133">
        <f t="shared" si="9"/>
        <v>85776.742524000001</v>
      </c>
      <c r="AP5" s="196">
        <f t="shared" si="10"/>
        <v>8039.7236072955993</v>
      </c>
      <c r="AQ5" s="190">
        <f>377169*(10400/10800)</f>
        <v>363199.77777777775</v>
      </c>
      <c r="AR5" s="133">
        <f t="shared" si="11"/>
        <v>181236.6891111111</v>
      </c>
      <c r="AS5" s="133">
        <f t="shared" si="12"/>
        <v>100586.36245666665</v>
      </c>
      <c r="AT5" s="133">
        <f t="shared" si="13"/>
        <v>73763.332468222216</v>
      </c>
      <c r="AU5" s="191">
        <f t="shared" si="14"/>
        <v>6336.9408347699991</v>
      </c>
      <c r="AV5" s="184">
        <v>99872</v>
      </c>
      <c r="AW5" s="133">
        <f t="shared" ref="AW5:AW34" si="16">AV5*Z5/100</f>
        <v>37452</v>
      </c>
      <c r="AX5" s="133">
        <f t="shared" ref="AX5:AX34" si="17">AW5*AA5/100</f>
        <v>19961.915999999997</v>
      </c>
      <c r="AY5" s="133">
        <f t="shared" ref="AY5:AY34" si="18">AW5*AB5/100</f>
        <v>15692.388000000001</v>
      </c>
      <c r="AZ5" s="141">
        <f t="shared" ref="AZ5:AZ34" si="19">AX5*AF5/100</f>
        <v>816.44236439999997</v>
      </c>
    </row>
    <row r="6" spans="1:52" x14ac:dyDescent="0.3">
      <c r="A6" s="114" t="s">
        <v>318</v>
      </c>
      <c r="B6" s="116" t="s">
        <v>249</v>
      </c>
      <c r="C6" s="116" t="s">
        <v>245</v>
      </c>
      <c r="D6" s="72" t="s">
        <v>91</v>
      </c>
      <c r="E6" s="181">
        <v>39.700000000000003</v>
      </c>
      <c r="F6" s="129">
        <v>53.7</v>
      </c>
      <c r="G6" s="129">
        <v>37.5</v>
      </c>
      <c r="H6" s="129">
        <f t="shared" si="0"/>
        <v>1.4320000000000002</v>
      </c>
      <c r="I6" s="129">
        <v>6.6</v>
      </c>
      <c r="J6" s="129">
        <v>11.1</v>
      </c>
      <c r="K6" s="175">
        <v>5.34</v>
      </c>
      <c r="L6" s="171">
        <v>55</v>
      </c>
      <c r="M6" s="129">
        <v>56.3</v>
      </c>
      <c r="N6" s="129">
        <v>25.7</v>
      </c>
      <c r="O6" s="129">
        <f t="shared" si="1"/>
        <v>2.1906614785992216</v>
      </c>
      <c r="P6" s="129">
        <v>9.48</v>
      </c>
      <c r="Q6" s="129">
        <v>6.98</v>
      </c>
      <c r="R6" s="177">
        <v>3.9</v>
      </c>
      <c r="S6" s="181">
        <v>53.4</v>
      </c>
      <c r="T6" s="129">
        <v>49.8</v>
      </c>
      <c r="U6" s="129">
        <v>48.5</v>
      </c>
      <c r="V6" s="129">
        <f t="shared" si="2"/>
        <v>1.0268041237113401</v>
      </c>
      <c r="W6" s="129">
        <v>10.3</v>
      </c>
      <c r="X6" s="129">
        <v>14.2</v>
      </c>
      <c r="Y6" s="175">
        <v>7.43</v>
      </c>
      <c r="Z6" s="171">
        <v>42.4</v>
      </c>
      <c r="AA6" s="129">
        <v>57.5</v>
      </c>
      <c r="AB6" s="129">
        <v>33.200000000000003</v>
      </c>
      <c r="AC6" s="129">
        <f t="shared" si="15"/>
        <v>1.7319277108433733</v>
      </c>
      <c r="AD6" s="129">
        <v>5.58</v>
      </c>
      <c r="AE6" s="129">
        <v>4.8899999999999997</v>
      </c>
      <c r="AF6" s="177">
        <v>2.62</v>
      </c>
      <c r="AG6" s="190">
        <f>4972755*(10400/10800)</f>
        <v>4788578.888888889</v>
      </c>
      <c r="AH6" s="133">
        <f t="shared" si="3"/>
        <v>1901065.8188888889</v>
      </c>
      <c r="AI6" s="133">
        <f t="shared" si="4"/>
        <v>1020872.3447433334</v>
      </c>
      <c r="AJ6" s="133">
        <f t="shared" si="5"/>
        <v>712899.68208333326</v>
      </c>
      <c r="AK6" s="191">
        <f t="shared" si="6"/>
        <v>54514.583209294004</v>
      </c>
      <c r="AL6" s="184">
        <v>851488</v>
      </c>
      <c r="AM6" s="133">
        <f t="shared" si="7"/>
        <v>468318.4</v>
      </c>
      <c r="AN6" s="133">
        <f t="shared" si="8"/>
        <v>263663.25920000003</v>
      </c>
      <c r="AO6" s="133">
        <f t="shared" si="9"/>
        <v>120357.8288</v>
      </c>
      <c r="AP6" s="196">
        <f t="shared" si="10"/>
        <v>10282.867108800001</v>
      </c>
      <c r="AQ6" s="190">
        <v>121546</v>
      </c>
      <c r="AR6" s="133">
        <f t="shared" si="11"/>
        <v>64905.563999999991</v>
      </c>
      <c r="AS6" s="133">
        <f t="shared" si="12"/>
        <v>32322.970871999994</v>
      </c>
      <c r="AT6" s="133">
        <f t="shared" si="13"/>
        <v>31479.198539999994</v>
      </c>
      <c r="AU6" s="191">
        <f t="shared" si="14"/>
        <v>2401.5967357895993</v>
      </c>
      <c r="AV6" s="184">
        <v>70306</v>
      </c>
      <c r="AW6" s="133">
        <f t="shared" si="16"/>
        <v>29809.743999999999</v>
      </c>
      <c r="AX6" s="133">
        <f t="shared" si="17"/>
        <v>17140.602800000001</v>
      </c>
      <c r="AY6" s="133">
        <f t="shared" si="18"/>
        <v>9896.835008</v>
      </c>
      <c r="AZ6" s="141">
        <f t="shared" si="19"/>
        <v>449.08379336000007</v>
      </c>
    </row>
    <row r="7" spans="1:52" x14ac:dyDescent="0.3">
      <c r="A7" s="114" t="s">
        <v>319</v>
      </c>
      <c r="B7" s="116" t="s">
        <v>249</v>
      </c>
      <c r="C7" s="116" t="s">
        <v>245</v>
      </c>
      <c r="D7" s="72" t="s">
        <v>334</v>
      </c>
      <c r="E7" s="181">
        <v>30.1</v>
      </c>
      <c r="F7" s="129">
        <v>54.8</v>
      </c>
      <c r="G7" s="129">
        <v>38.5</v>
      </c>
      <c r="H7" s="129">
        <f t="shared" si="0"/>
        <v>1.4233766233766234</v>
      </c>
      <c r="I7" s="129">
        <v>3.23</v>
      </c>
      <c r="J7" s="129">
        <v>12.1</v>
      </c>
      <c r="K7" s="175">
        <v>3.43</v>
      </c>
      <c r="L7" s="171">
        <v>62.8</v>
      </c>
      <c r="M7" s="129">
        <v>52.3</v>
      </c>
      <c r="N7" s="129">
        <v>38.799999999999997</v>
      </c>
      <c r="O7" s="129">
        <f t="shared" si="1"/>
        <v>1.347938144329897</v>
      </c>
      <c r="P7" s="129">
        <v>7.12</v>
      </c>
      <c r="Q7" s="129">
        <v>8.34</v>
      </c>
      <c r="R7" s="177">
        <v>5.94</v>
      </c>
      <c r="S7" s="181">
        <v>67.900000000000006</v>
      </c>
      <c r="T7" s="129">
        <v>54.3</v>
      </c>
      <c r="U7" s="129">
        <v>44.4</v>
      </c>
      <c r="V7" s="129">
        <f t="shared" si="2"/>
        <v>1.222972972972973</v>
      </c>
      <c r="W7" s="129">
        <v>8</v>
      </c>
      <c r="X7" s="129">
        <v>11.4</v>
      </c>
      <c r="Y7" s="175">
        <v>8.3000000000000007</v>
      </c>
      <c r="Z7" s="171">
        <v>37.6</v>
      </c>
      <c r="AA7" s="129">
        <v>54.7</v>
      </c>
      <c r="AB7" s="129">
        <v>39.1</v>
      </c>
      <c r="AC7" s="129">
        <f t="shared" si="15"/>
        <v>1.3989769820971867</v>
      </c>
      <c r="AD7" s="129">
        <v>3.92</v>
      </c>
      <c r="AE7" s="129">
        <v>6.35</v>
      </c>
      <c r="AF7" s="177">
        <v>2.69</v>
      </c>
      <c r="AG7" s="190">
        <v>30113180</v>
      </c>
      <c r="AH7" s="133">
        <f t="shared" si="3"/>
        <v>9064067.1799999997</v>
      </c>
      <c r="AI7" s="133">
        <f t="shared" si="4"/>
        <v>4967108.8146399995</v>
      </c>
      <c r="AJ7" s="133">
        <f t="shared" si="5"/>
        <v>3489665.8643</v>
      </c>
      <c r="AK7" s="191">
        <f t="shared" si="6"/>
        <v>170371.83234215199</v>
      </c>
      <c r="AL7" s="184">
        <v>673866</v>
      </c>
      <c r="AM7" s="133">
        <f t="shared" si="7"/>
        <v>423187.848</v>
      </c>
      <c r="AN7" s="133">
        <f t="shared" si="8"/>
        <v>221327.24450399997</v>
      </c>
      <c r="AO7" s="133">
        <f t="shared" si="9"/>
        <v>164196.88502399999</v>
      </c>
      <c r="AP7" s="196">
        <f t="shared" si="10"/>
        <v>13146.8383235376</v>
      </c>
      <c r="AQ7" s="190">
        <v>877153</v>
      </c>
      <c r="AR7" s="133">
        <f t="shared" si="11"/>
        <v>595586.88699999999</v>
      </c>
      <c r="AS7" s="133">
        <f t="shared" si="12"/>
        <v>323403.67964099994</v>
      </c>
      <c r="AT7" s="133">
        <f t="shared" si="13"/>
        <v>264440.57782800001</v>
      </c>
      <c r="AU7" s="191">
        <f t="shared" si="14"/>
        <v>26842.505410202997</v>
      </c>
      <c r="AV7" s="184">
        <v>258662</v>
      </c>
      <c r="AW7" s="133">
        <f t="shared" si="16"/>
        <v>97256.912000000011</v>
      </c>
      <c r="AX7" s="133">
        <f t="shared" si="17"/>
        <v>53199.530864000015</v>
      </c>
      <c r="AY7" s="133">
        <f t="shared" si="18"/>
        <v>38027.452592000009</v>
      </c>
      <c r="AZ7" s="141">
        <f t="shared" si="19"/>
        <v>1431.0673802416004</v>
      </c>
    </row>
    <row r="8" spans="1:52" x14ac:dyDescent="0.3">
      <c r="A8" s="114" t="s">
        <v>320</v>
      </c>
      <c r="B8" s="116" t="s">
        <v>249</v>
      </c>
      <c r="C8" s="116" t="s">
        <v>245</v>
      </c>
      <c r="D8" s="72" t="s">
        <v>91</v>
      </c>
      <c r="E8" s="181">
        <v>40</v>
      </c>
      <c r="F8" s="129">
        <v>53</v>
      </c>
      <c r="G8" s="129">
        <v>38.5</v>
      </c>
      <c r="H8" s="129">
        <f t="shared" si="0"/>
        <v>1.3766233766233766</v>
      </c>
      <c r="I8" s="129">
        <v>5.49</v>
      </c>
      <c r="J8" s="129">
        <v>9.8000000000000007</v>
      </c>
      <c r="K8" s="175">
        <v>4.1500000000000004</v>
      </c>
      <c r="L8" s="171">
        <v>58.3</v>
      </c>
      <c r="M8" s="129">
        <v>55.3</v>
      </c>
      <c r="N8" s="129">
        <v>34.6</v>
      </c>
      <c r="O8" s="129">
        <f t="shared" si="1"/>
        <v>1.598265895953757</v>
      </c>
      <c r="P8" s="129">
        <v>8.06</v>
      </c>
      <c r="Q8" s="129">
        <v>5.54</v>
      </c>
      <c r="R8" s="177">
        <v>3.9</v>
      </c>
      <c r="S8" s="181">
        <v>51.8</v>
      </c>
      <c r="T8" s="129">
        <v>51.5</v>
      </c>
      <c r="U8" s="129">
        <v>36.9</v>
      </c>
      <c r="V8" s="129">
        <f t="shared" si="2"/>
        <v>1.3956639566395665</v>
      </c>
      <c r="W8" s="129">
        <v>10.199999999999999</v>
      </c>
      <c r="X8" s="129">
        <v>7.8</v>
      </c>
      <c r="Y8" s="175">
        <v>6.52</v>
      </c>
      <c r="Z8" s="171">
        <v>30</v>
      </c>
      <c r="AA8" s="129">
        <v>49.7</v>
      </c>
      <c r="AB8" s="129">
        <v>39.200000000000003</v>
      </c>
      <c r="AC8" s="129">
        <f t="shared" si="15"/>
        <v>1.2678571428571428</v>
      </c>
      <c r="AD8" s="129">
        <v>5.65</v>
      </c>
      <c r="AE8" s="129">
        <v>6.16</v>
      </c>
      <c r="AF8" s="177">
        <v>4.1900000000000004</v>
      </c>
      <c r="AG8" s="190">
        <f>3958468*(10400/10800)</f>
        <v>3811858.0740740737</v>
      </c>
      <c r="AH8" s="133">
        <f t="shared" si="3"/>
        <v>1524743.2296296295</v>
      </c>
      <c r="AI8" s="133">
        <f t="shared" si="4"/>
        <v>808113.91170370369</v>
      </c>
      <c r="AJ8" s="133">
        <f t="shared" si="5"/>
        <v>587026.14340740745</v>
      </c>
      <c r="AK8" s="191">
        <f t="shared" si="6"/>
        <v>33536.727335703705</v>
      </c>
      <c r="AL8" s="184">
        <f>676306*(10400/10800)</f>
        <v>651257.62962962955</v>
      </c>
      <c r="AM8" s="133">
        <f t="shared" si="7"/>
        <v>379683.198074074</v>
      </c>
      <c r="AN8" s="133">
        <f t="shared" si="8"/>
        <v>209964.80853496291</v>
      </c>
      <c r="AO8" s="133">
        <f t="shared" si="9"/>
        <v>131370.38653362961</v>
      </c>
      <c r="AP8" s="196">
        <f t="shared" si="10"/>
        <v>8188.6275328635529</v>
      </c>
      <c r="AQ8" s="190">
        <v>18712</v>
      </c>
      <c r="AR8" s="133">
        <f t="shared" si="11"/>
        <v>9692.8159999999989</v>
      </c>
      <c r="AS8" s="133">
        <f t="shared" si="12"/>
        <v>4991.8002399999996</v>
      </c>
      <c r="AT8" s="133">
        <f t="shared" si="13"/>
        <v>3576.6491039999992</v>
      </c>
      <c r="AU8" s="191">
        <f t="shared" si="14"/>
        <v>325.46537564799996</v>
      </c>
      <c r="AV8" s="184">
        <f>220644*(10400/10800)</f>
        <v>212472</v>
      </c>
      <c r="AW8" s="133">
        <f t="shared" si="16"/>
        <v>63741.599999999999</v>
      </c>
      <c r="AX8" s="133">
        <f t="shared" si="17"/>
        <v>31679.575199999999</v>
      </c>
      <c r="AY8" s="133">
        <f t="shared" si="18"/>
        <v>24986.707200000001</v>
      </c>
      <c r="AZ8" s="141">
        <f t="shared" si="19"/>
        <v>1327.3742008800002</v>
      </c>
    </row>
    <row r="9" spans="1:52" x14ac:dyDescent="0.3">
      <c r="A9" s="114" t="s">
        <v>321</v>
      </c>
      <c r="B9" s="116" t="s">
        <v>249</v>
      </c>
      <c r="C9" s="116" t="s">
        <v>245</v>
      </c>
      <c r="D9" s="72" t="s">
        <v>334</v>
      </c>
      <c r="E9" s="181">
        <v>36.9</v>
      </c>
      <c r="F9" s="129">
        <v>53.6</v>
      </c>
      <c r="G9" s="129">
        <v>37.200000000000003</v>
      </c>
      <c r="H9" s="129">
        <f t="shared" si="0"/>
        <v>1.4408602150537633</v>
      </c>
      <c r="I9" s="129">
        <v>5.86</v>
      </c>
      <c r="J9" s="129">
        <v>10</v>
      </c>
      <c r="K9" s="175">
        <v>5.31</v>
      </c>
      <c r="L9" s="171">
        <v>63.4</v>
      </c>
      <c r="M9" s="129">
        <v>55.1</v>
      </c>
      <c r="N9" s="129">
        <v>40.1</v>
      </c>
      <c r="O9" s="129">
        <f t="shared" si="1"/>
        <v>1.3740648379052369</v>
      </c>
      <c r="P9" s="129">
        <v>9.77</v>
      </c>
      <c r="Q9" s="129">
        <v>7.8</v>
      </c>
      <c r="R9" s="177">
        <v>6.08</v>
      </c>
      <c r="S9" s="181">
        <v>56.1</v>
      </c>
      <c r="T9" s="129">
        <v>57</v>
      </c>
      <c r="U9" s="129">
        <v>41.5</v>
      </c>
      <c r="V9" s="129">
        <f t="shared" si="2"/>
        <v>1.3734939759036144</v>
      </c>
      <c r="W9" s="129">
        <v>8.2200000000000006</v>
      </c>
      <c r="X9" s="129">
        <v>9.61</v>
      </c>
      <c r="Y9" s="175">
        <v>7.51</v>
      </c>
      <c r="Z9" s="171">
        <v>40.4</v>
      </c>
      <c r="AA9" s="129">
        <v>55.3</v>
      </c>
      <c r="AB9" s="129">
        <v>38.799999999999997</v>
      </c>
      <c r="AC9" s="129">
        <f t="shared" si="15"/>
        <v>1.4252577319587629</v>
      </c>
      <c r="AD9" s="129">
        <v>3.65</v>
      </c>
      <c r="AE9" s="129">
        <v>3.36</v>
      </c>
      <c r="AF9" s="177">
        <v>2.64</v>
      </c>
      <c r="AG9" s="190">
        <f>16115059*(10400/10800)</f>
        <v>15518204.962962963</v>
      </c>
      <c r="AH9" s="133">
        <f t="shared" si="3"/>
        <v>5726217.6313333334</v>
      </c>
      <c r="AI9" s="133">
        <f t="shared" si="4"/>
        <v>3069252.6503946669</v>
      </c>
      <c r="AJ9" s="133">
        <f t="shared" si="5"/>
        <v>2130152.9588560001</v>
      </c>
      <c r="AK9" s="191">
        <f t="shared" si="6"/>
        <v>162977.3157359568</v>
      </c>
      <c r="AL9" s="184">
        <f>790418*(10400/10800)</f>
        <v>761143.25925925921</v>
      </c>
      <c r="AM9" s="133">
        <f t="shared" si="7"/>
        <v>482564.82637037034</v>
      </c>
      <c r="AN9" s="133">
        <f t="shared" si="8"/>
        <v>265893.21933007409</v>
      </c>
      <c r="AO9" s="133">
        <f t="shared" si="9"/>
        <v>193508.49537451853</v>
      </c>
      <c r="AP9" s="196">
        <f t="shared" si="10"/>
        <v>16166.307735268503</v>
      </c>
      <c r="AQ9" s="190">
        <f>514135*(10400/10800)</f>
        <v>495092.96296296292</v>
      </c>
      <c r="AR9" s="133">
        <f t="shared" si="11"/>
        <v>277747.15222222218</v>
      </c>
      <c r="AS9" s="133">
        <f t="shared" si="12"/>
        <v>158315.87676666665</v>
      </c>
      <c r="AT9" s="133">
        <f t="shared" si="13"/>
        <v>115265.06817222221</v>
      </c>
      <c r="AU9" s="191">
        <f t="shared" si="14"/>
        <v>11889.522345176665</v>
      </c>
      <c r="AV9" s="184">
        <f>267220*(10400/10800)</f>
        <v>257322.96296296295</v>
      </c>
      <c r="AW9" s="133">
        <f t="shared" si="16"/>
        <v>103958.47703703704</v>
      </c>
      <c r="AX9" s="133">
        <f t="shared" si="17"/>
        <v>57489.037801481478</v>
      </c>
      <c r="AY9" s="133">
        <f t="shared" si="18"/>
        <v>40335.889090370365</v>
      </c>
      <c r="AZ9" s="141">
        <f t="shared" si="19"/>
        <v>1517.7105979591111</v>
      </c>
    </row>
    <row r="10" spans="1:52" x14ac:dyDescent="0.3">
      <c r="A10" s="114" t="s">
        <v>322</v>
      </c>
      <c r="B10" s="116" t="s">
        <v>249</v>
      </c>
      <c r="C10" s="116" t="s">
        <v>245</v>
      </c>
      <c r="D10" s="72" t="s">
        <v>91</v>
      </c>
      <c r="E10" s="181">
        <v>38.799999999999997</v>
      </c>
      <c r="F10" s="129">
        <v>54.8</v>
      </c>
      <c r="G10" s="129">
        <v>38.700000000000003</v>
      </c>
      <c r="H10" s="129">
        <f t="shared" si="0"/>
        <v>1.4160206718346251</v>
      </c>
      <c r="I10" s="129">
        <v>7.23</v>
      </c>
      <c r="J10" s="129">
        <v>11.3</v>
      </c>
      <c r="K10" s="175">
        <v>6.6</v>
      </c>
      <c r="L10" s="171">
        <v>57.2</v>
      </c>
      <c r="M10" s="129">
        <v>54.4</v>
      </c>
      <c r="N10" s="129">
        <v>39.5</v>
      </c>
      <c r="O10" s="129">
        <f t="shared" si="1"/>
        <v>1.3772151898734177</v>
      </c>
      <c r="P10" s="129">
        <v>8.2200000000000006</v>
      </c>
      <c r="Q10" s="129">
        <v>5.65</v>
      </c>
      <c r="R10" s="177">
        <v>2.4700000000000002</v>
      </c>
      <c r="S10" s="181">
        <v>65.7</v>
      </c>
      <c r="T10" s="129">
        <v>52.9</v>
      </c>
      <c r="U10" s="129">
        <v>42.7</v>
      </c>
      <c r="V10" s="129">
        <f t="shared" si="2"/>
        <v>1.2388758782201403</v>
      </c>
      <c r="W10" s="129">
        <v>6.78</v>
      </c>
      <c r="X10" s="129">
        <v>9.32</v>
      </c>
      <c r="Y10" s="175">
        <v>6.42</v>
      </c>
      <c r="Z10" s="171">
        <v>40.6</v>
      </c>
      <c r="AA10" s="129">
        <v>58.4</v>
      </c>
      <c r="AB10" s="129">
        <v>36.799999999999997</v>
      </c>
      <c r="AC10" s="129">
        <f t="shared" si="15"/>
        <v>1.5869565217391306</v>
      </c>
      <c r="AD10" s="129">
        <v>4.37</v>
      </c>
      <c r="AE10" s="129">
        <v>4.01</v>
      </c>
      <c r="AF10" s="177">
        <v>2.27</v>
      </c>
      <c r="AG10" s="190">
        <f>13542241*(10400/10800)</f>
        <v>13040676.518518519</v>
      </c>
      <c r="AH10" s="133">
        <f t="shared" si="3"/>
        <v>5059782.4891851852</v>
      </c>
      <c r="AI10" s="133">
        <f t="shared" si="4"/>
        <v>2772760.8040734814</v>
      </c>
      <c r="AJ10" s="133">
        <f t="shared" si="5"/>
        <v>1958135.8233146667</v>
      </c>
      <c r="AK10" s="191">
        <f t="shared" si="6"/>
        <v>183002.21306884976</v>
      </c>
      <c r="AL10" s="184">
        <v>565255</v>
      </c>
      <c r="AM10" s="133">
        <f t="shared" si="7"/>
        <v>323325.86</v>
      </c>
      <c r="AN10" s="133">
        <f t="shared" si="8"/>
        <v>175889.26783999999</v>
      </c>
      <c r="AO10" s="133">
        <f t="shared" si="9"/>
        <v>127713.71469999998</v>
      </c>
      <c r="AP10" s="196">
        <f t="shared" si="10"/>
        <v>4344.464915648</v>
      </c>
      <c r="AQ10" s="190">
        <v>46369</v>
      </c>
      <c r="AR10" s="133">
        <f t="shared" si="11"/>
        <v>30464.433000000005</v>
      </c>
      <c r="AS10" s="133">
        <f t="shared" si="12"/>
        <v>16115.685057000001</v>
      </c>
      <c r="AT10" s="133">
        <f t="shared" si="13"/>
        <v>13008.312891000001</v>
      </c>
      <c r="AU10" s="191">
        <f t="shared" si="14"/>
        <v>1034.6269806594</v>
      </c>
      <c r="AV10" s="184">
        <f>272946*(10400/10800)</f>
        <v>262836.88888888888</v>
      </c>
      <c r="AW10" s="133">
        <f t="shared" si="16"/>
        <v>106711.77688888888</v>
      </c>
      <c r="AX10" s="133">
        <f t="shared" si="17"/>
        <v>62319.677703111105</v>
      </c>
      <c r="AY10" s="133">
        <f t="shared" si="18"/>
        <v>39269.933895111106</v>
      </c>
      <c r="AZ10" s="141">
        <f t="shared" si="19"/>
        <v>1414.656683860622</v>
      </c>
    </row>
    <row r="11" spans="1:52" x14ac:dyDescent="0.3">
      <c r="A11" s="114" t="s">
        <v>323</v>
      </c>
      <c r="B11" s="116" t="s">
        <v>249</v>
      </c>
      <c r="C11" s="116" t="s">
        <v>245</v>
      </c>
      <c r="D11" s="72" t="s">
        <v>334</v>
      </c>
      <c r="E11" s="181">
        <v>36.5</v>
      </c>
      <c r="F11" s="129">
        <v>55.5</v>
      </c>
      <c r="G11" s="129">
        <v>38.700000000000003</v>
      </c>
      <c r="H11" s="129">
        <f t="shared" si="0"/>
        <v>1.4341085271317828</v>
      </c>
      <c r="I11" s="129">
        <v>7.31</v>
      </c>
      <c r="J11" s="129">
        <v>12.2</v>
      </c>
      <c r="K11" s="175">
        <v>7.17</v>
      </c>
      <c r="L11" s="171">
        <v>51</v>
      </c>
      <c r="M11" s="129">
        <v>54.5</v>
      </c>
      <c r="N11" s="129">
        <v>32.299999999999997</v>
      </c>
      <c r="O11" s="129">
        <f t="shared" si="1"/>
        <v>1.6873065015479878</v>
      </c>
      <c r="P11" s="129">
        <v>9.86</v>
      </c>
      <c r="Q11" s="129">
        <v>6.06</v>
      </c>
      <c r="R11" s="177">
        <v>4.2300000000000004</v>
      </c>
      <c r="S11" s="181">
        <v>32.5</v>
      </c>
      <c r="T11" s="129">
        <v>66.7</v>
      </c>
      <c r="U11" s="129">
        <v>26.9</v>
      </c>
      <c r="V11" s="129">
        <f t="shared" si="2"/>
        <v>2.479553903345725</v>
      </c>
      <c r="W11" s="129">
        <v>8.83</v>
      </c>
      <c r="X11" s="129">
        <v>6.25</v>
      </c>
      <c r="Y11" s="175">
        <v>3.68</v>
      </c>
      <c r="Z11" s="171">
        <v>37</v>
      </c>
      <c r="AA11" s="129">
        <v>56.4</v>
      </c>
      <c r="AB11" s="129">
        <v>39.9</v>
      </c>
      <c r="AC11" s="129">
        <f t="shared" si="15"/>
        <v>1.4135338345864661</v>
      </c>
      <c r="AD11" s="129">
        <v>3</v>
      </c>
      <c r="AE11" s="129">
        <v>3.28</v>
      </c>
      <c r="AF11" s="177">
        <v>1.03</v>
      </c>
      <c r="AG11" s="190">
        <v>13707140</v>
      </c>
      <c r="AH11" s="133">
        <f t="shared" si="3"/>
        <v>5003106.0999999996</v>
      </c>
      <c r="AI11" s="133">
        <f t="shared" si="4"/>
        <v>2776723.8854999994</v>
      </c>
      <c r="AJ11" s="133">
        <f t="shared" si="5"/>
        <v>1936202.0607</v>
      </c>
      <c r="AK11" s="191">
        <f t="shared" si="6"/>
        <v>199091.10259034994</v>
      </c>
      <c r="AL11" s="184">
        <v>528603</v>
      </c>
      <c r="AM11" s="133">
        <f t="shared" si="7"/>
        <v>269587.53000000003</v>
      </c>
      <c r="AN11" s="133">
        <f t="shared" si="8"/>
        <v>146925.20385000002</v>
      </c>
      <c r="AO11" s="133">
        <f t="shared" si="9"/>
        <v>87076.772190000003</v>
      </c>
      <c r="AP11" s="196">
        <f t="shared" si="10"/>
        <v>6214.9361228550015</v>
      </c>
      <c r="AQ11" s="190">
        <v>617512</v>
      </c>
      <c r="AR11" s="133">
        <f t="shared" si="11"/>
        <v>200691.4</v>
      </c>
      <c r="AS11" s="133">
        <f t="shared" si="12"/>
        <v>133861.16380000001</v>
      </c>
      <c r="AT11" s="133">
        <f t="shared" si="13"/>
        <v>53985.986599999989</v>
      </c>
      <c r="AU11" s="191">
        <f t="shared" si="14"/>
        <v>4926.0908278400002</v>
      </c>
      <c r="AV11" s="184">
        <v>165915</v>
      </c>
      <c r="AW11" s="133">
        <f t="shared" si="16"/>
        <v>61388.55</v>
      </c>
      <c r="AX11" s="133">
        <f t="shared" si="17"/>
        <v>34623.142200000002</v>
      </c>
      <c r="AY11" s="133">
        <f t="shared" si="18"/>
        <v>24494.031449999999</v>
      </c>
      <c r="AZ11" s="141">
        <f t="shared" si="19"/>
        <v>356.61836466</v>
      </c>
    </row>
    <row r="12" spans="1:52" x14ac:dyDescent="0.3">
      <c r="A12" s="114" t="s">
        <v>271</v>
      </c>
      <c r="B12" s="116" t="s">
        <v>249</v>
      </c>
      <c r="C12" s="116" t="s">
        <v>245</v>
      </c>
      <c r="D12" s="72" t="s">
        <v>334</v>
      </c>
      <c r="E12" s="181">
        <v>35.799999999999997</v>
      </c>
      <c r="F12" s="129">
        <v>54.5</v>
      </c>
      <c r="G12" s="129">
        <v>39.5</v>
      </c>
      <c r="H12" s="129">
        <f t="shared" si="0"/>
        <v>1.379746835443038</v>
      </c>
      <c r="I12" s="129">
        <v>7.34</v>
      </c>
      <c r="J12" s="129">
        <v>12.8</v>
      </c>
      <c r="K12" s="175">
        <v>7.46</v>
      </c>
      <c r="L12" s="171">
        <v>47.1</v>
      </c>
      <c r="M12" s="129">
        <v>54.8</v>
      </c>
      <c r="N12" s="129">
        <v>35</v>
      </c>
      <c r="O12" s="129">
        <f t="shared" si="1"/>
        <v>1.5657142857142856</v>
      </c>
      <c r="P12" s="129">
        <v>9.41</v>
      </c>
      <c r="Q12" s="129">
        <v>4.5199999999999996</v>
      </c>
      <c r="R12" s="177">
        <v>3.45</v>
      </c>
      <c r="S12" s="181">
        <v>38.299999999999997</v>
      </c>
      <c r="T12" s="129">
        <v>52.9</v>
      </c>
      <c r="U12" s="129">
        <v>24.9</v>
      </c>
      <c r="V12" s="129">
        <f t="shared" si="2"/>
        <v>2.1244979919678717</v>
      </c>
      <c r="W12" s="129">
        <v>6.02</v>
      </c>
      <c r="X12" s="129">
        <v>4.45</v>
      </c>
      <c r="Y12" s="175">
        <v>3.6</v>
      </c>
      <c r="Z12" s="171">
        <v>30.4</v>
      </c>
      <c r="AA12" s="129">
        <v>49.6</v>
      </c>
      <c r="AB12" s="129">
        <v>33.9</v>
      </c>
      <c r="AC12" s="129">
        <f t="shared" si="15"/>
        <v>1.4631268436578173</v>
      </c>
      <c r="AD12" s="129">
        <v>6.3</v>
      </c>
      <c r="AE12" s="129">
        <v>2.83</v>
      </c>
      <c r="AF12" s="177">
        <v>1.52</v>
      </c>
      <c r="AG12" s="190">
        <v>15660145</v>
      </c>
      <c r="AH12" s="133">
        <f t="shared" si="3"/>
        <v>5606331.9100000001</v>
      </c>
      <c r="AI12" s="133">
        <f t="shared" si="4"/>
        <v>3055450.8909500004</v>
      </c>
      <c r="AJ12" s="133">
        <f t="shared" si="5"/>
        <v>2214501.10445</v>
      </c>
      <c r="AK12" s="191">
        <f t="shared" si="6"/>
        <v>227936.63646487001</v>
      </c>
      <c r="AL12" s="184">
        <v>625720</v>
      </c>
      <c r="AM12" s="133">
        <f t="shared" si="7"/>
        <v>294714.12</v>
      </c>
      <c r="AN12" s="133">
        <f t="shared" si="8"/>
        <v>161503.33775999999</v>
      </c>
      <c r="AO12" s="133">
        <f t="shared" si="9"/>
        <v>103149.942</v>
      </c>
      <c r="AP12" s="196">
        <f t="shared" si="10"/>
        <v>5571.86515272</v>
      </c>
      <c r="AQ12" s="190">
        <v>657753</v>
      </c>
      <c r="AR12" s="133">
        <f t="shared" si="11"/>
        <v>251919.39899999998</v>
      </c>
      <c r="AS12" s="133">
        <f t="shared" si="12"/>
        <v>133265.36207099998</v>
      </c>
      <c r="AT12" s="133">
        <f t="shared" si="13"/>
        <v>62727.930350999988</v>
      </c>
      <c r="AU12" s="191">
        <f t="shared" si="14"/>
        <v>4797.5530345559991</v>
      </c>
      <c r="AV12" s="184">
        <v>203644</v>
      </c>
      <c r="AW12" s="133">
        <f t="shared" si="16"/>
        <v>61907.775999999998</v>
      </c>
      <c r="AX12" s="133">
        <f t="shared" si="17"/>
        <v>30706.256896000003</v>
      </c>
      <c r="AY12" s="133">
        <f t="shared" si="18"/>
        <v>20986.736064000001</v>
      </c>
      <c r="AZ12" s="141">
        <f t="shared" si="19"/>
        <v>466.73510481920005</v>
      </c>
    </row>
    <row r="13" spans="1:52" x14ac:dyDescent="0.3">
      <c r="A13" s="114" t="s">
        <v>274</v>
      </c>
      <c r="B13" s="116" t="s">
        <v>249</v>
      </c>
      <c r="C13" s="116" t="s">
        <v>245</v>
      </c>
      <c r="D13" s="72" t="s">
        <v>334</v>
      </c>
      <c r="E13" s="181">
        <v>35.299999999999997</v>
      </c>
      <c r="F13" s="129">
        <v>55.1</v>
      </c>
      <c r="G13" s="129">
        <v>38.799999999999997</v>
      </c>
      <c r="H13" s="129">
        <f t="shared" si="0"/>
        <v>1.4201030927835052</v>
      </c>
      <c r="I13" s="129">
        <v>7.42</v>
      </c>
      <c r="J13" s="129">
        <v>12.4</v>
      </c>
      <c r="K13" s="175">
        <v>7.26</v>
      </c>
      <c r="L13" s="171">
        <v>56.9</v>
      </c>
      <c r="M13" s="129">
        <v>50.7</v>
      </c>
      <c r="N13" s="129">
        <v>43.9</v>
      </c>
      <c r="O13" s="129">
        <f t="shared" si="1"/>
        <v>1.1548974943052392</v>
      </c>
      <c r="P13" s="129">
        <v>8.75</v>
      </c>
      <c r="Q13" s="129">
        <v>6.36</v>
      </c>
      <c r="R13" s="177">
        <v>4.21</v>
      </c>
      <c r="S13" s="181">
        <v>69.599999999999994</v>
      </c>
      <c r="T13" s="129">
        <v>52.6</v>
      </c>
      <c r="U13" s="129">
        <v>46.2</v>
      </c>
      <c r="V13" s="129">
        <f t="shared" si="2"/>
        <v>1.1385281385281385</v>
      </c>
      <c r="W13" s="129">
        <v>6.67</v>
      </c>
      <c r="X13" s="129">
        <v>8.8699999999999992</v>
      </c>
      <c r="Y13" s="175">
        <v>5.47</v>
      </c>
      <c r="Z13" s="171">
        <v>34.5</v>
      </c>
      <c r="AA13" s="129">
        <v>49.8</v>
      </c>
      <c r="AB13" s="129">
        <v>44.2</v>
      </c>
      <c r="AC13" s="129">
        <f t="shared" si="15"/>
        <v>1.1266968325791853</v>
      </c>
      <c r="AD13" s="129">
        <v>2</v>
      </c>
      <c r="AE13" s="129">
        <v>3.1</v>
      </c>
      <c r="AF13" s="177">
        <v>1.68</v>
      </c>
      <c r="AG13" s="190">
        <v>25192744</v>
      </c>
      <c r="AH13" s="133">
        <f t="shared" si="3"/>
        <v>8893038.6319999993</v>
      </c>
      <c r="AI13" s="133">
        <f t="shared" si="4"/>
        <v>4900064.2862320002</v>
      </c>
      <c r="AJ13" s="133">
        <f t="shared" si="5"/>
        <v>3450498.9892159994</v>
      </c>
      <c r="AK13" s="191">
        <f t="shared" si="6"/>
        <v>355744.66718044318</v>
      </c>
      <c r="AL13" s="184">
        <v>748601</v>
      </c>
      <c r="AM13" s="133">
        <f t="shared" si="7"/>
        <v>425953.96899999998</v>
      </c>
      <c r="AN13" s="133">
        <f t="shared" si="8"/>
        <v>215958.66228300001</v>
      </c>
      <c r="AO13" s="133">
        <f t="shared" si="9"/>
        <v>186993.79239099997</v>
      </c>
      <c r="AP13" s="196">
        <f t="shared" si="10"/>
        <v>9091.8596821143001</v>
      </c>
      <c r="AQ13" s="190">
        <v>643782</v>
      </c>
      <c r="AR13" s="133">
        <f t="shared" si="11"/>
        <v>448072.27199999994</v>
      </c>
      <c r="AS13" s="133">
        <f t="shared" si="12"/>
        <v>235686.01507199998</v>
      </c>
      <c r="AT13" s="133">
        <f t="shared" si="13"/>
        <v>207009.38966399999</v>
      </c>
      <c r="AU13" s="191">
        <f t="shared" si="14"/>
        <v>12892.025024438399</v>
      </c>
      <c r="AV13" s="184">
        <v>250035</v>
      </c>
      <c r="AW13" s="133">
        <f t="shared" si="16"/>
        <v>86262.074999999997</v>
      </c>
      <c r="AX13" s="133">
        <f t="shared" si="17"/>
        <v>42958.513350000001</v>
      </c>
      <c r="AY13" s="133">
        <f t="shared" si="18"/>
        <v>38127.837150000007</v>
      </c>
      <c r="AZ13" s="141">
        <f t="shared" si="19"/>
        <v>721.70302427999991</v>
      </c>
    </row>
    <row r="14" spans="1:52" x14ac:dyDescent="0.3">
      <c r="A14" s="114" t="s">
        <v>260</v>
      </c>
      <c r="B14" s="116" t="s">
        <v>249</v>
      </c>
      <c r="C14" s="116" t="s">
        <v>245</v>
      </c>
      <c r="D14" s="72" t="s">
        <v>91</v>
      </c>
      <c r="E14" s="181">
        <v>39.799999999999997</v>
      </c>
      <c r="F14" s="129">
        <v>59.1</v>
      </c>
      <c r="G14" s="129">
        <v>32.4</v>
      </c>
      <c r="H14" s="129">
        <f t="shared" si="0"/>
        <v>1.8240740740740742</v>
      </c>
      <c r="I14" s="129">
        <v>6.93</v>
      </c>
      <c r="J14" s="129">
        <v>12</v>
      </c>
      <c r="K14" s="175">
        <v>6.73</v>
      </c>
      <c r="L14" s="171">
        <v>58.5</v>
      </c>
      <c r="M14" s="129">
        <v>54.1</v>
      </c>
      <c r="N14" s="129">
        <v>31.9</v>
      </c>
      <c r="O14" s="129">
        <f t="shared" si="1"/>
        <v>1.6959247648902822</v>
      </c>
      <c r="P14" s="129">
        <v>10.1</v>
      </c>
      <c r="Q14" s="129">
        <v>8.8699999999999992</v>
      </c>
      <c r="R14" s="177">
        <v>5.24</v>
      </c>
      <c r="S14" s="181">
        <v>56.5</v>
      </c>
      <c r="T14" s="129">
        <v>51.8</v>
      </c>
      <c r="U14" s="129">
        <v>43.5</v>
      </c>
      <c r="V14" s="129">
        <f t="shared" si="2"/>
        <v>1.1908045977011494</v>
      </c>
      <c r="W14" s="129">
        <v>12.5</v>
      </c>
      <c r="X14" s="129">
        <v>12.8</v>
      </c>
      <c r="Y14" s="175">
        <v>9.68</v>
      </c>
      <c r="Z14" s="171">
        <v>40.5</v>
      </c>
      <c r="AA14" s="129">
        <v>58.2</v>
      </c>
      <c r="AB14" s="129">
        <v>37</v>
      </c>
      <c r="AC14" s="129">
        <f t="shared" si="15"/>
        <v>1.5729729729729731</v>
      </c>
      <c r="AD14" s="129">
        <v>4.04</v>
      </c>
      <c r="AE14" s="129">
        <v>6.7</v>
      </c>
      <c r="AF14" s="177">
        <v>3.19</v>
      </c>
      <c r="AG14" s="190">
        <f>15376734*(10400/10800)</f>
        <v>14807225.333333332</v>
      </c>
      <c r="AH14" s="133">
        <f t="shared" si="3"/>
        <v>5893275.6826666649</v>
      </c>
      <c r="AI14" s="133">
        <f t="shared" si="4"/>
        <v>3482925.9284559991</v>
      </c>
      <c r="AJ14" s="133">
        <f t="shared" si="5"/>
        <v>1909421.3211839995</v>
      </c>
      <c r="AK14" s="191">
        <f t="shared" si="6"/>
        <v>234400.91498508875</v>
      </c>
      <c r="AL14" s="184">
        <f>675593*(10400/10800)</f>
        <v>650571.03703703696</v>
      </c>
      <c r="AM14" s="133">
        <f t="shared" si="7"/>
        <v>380584.05666666664</v>
      </c>
      <c r="AN14" s="133">
        <f t="shared" si="8"/>
        <v>205895.97465666666</v>
      </c>
      <c r="AO14" s="133">
        <f t="shared" si="9"/>
        <v>121406.31407666665</v>
      </c>
      <c r="AP14" s="196">
        <f t="shared" si="10"/>
        <v>10788.949072009334</v>
      </c>
      <c r="AQ14" s="190">
        <f>566558*(10400/10800)</f>
        <v>545574.37037037034</v>
      </c>
      <c r="AR14" s="133">
        <f t="shared" si="11"/>
        <v>308249.51925925928</v>
      </c>
      <c r="AS14" s="133">
        <f t="shared" si="12"/>
        <v>159673.25097629629</v>
      </c>
      <c r="AT14" s="133">
        <f t="shared" si="13"/>
        <v>134088.54087777779</v>
      </c>
      <c r="AU14" s="191">
        <f t="shared" si="14"/>
        <v>15456.37069450548</v>
      </c>
      <c r="AV14" s="184">
        <v>116268</v>
      </c>
      <c r="AW14" s="133">
        <f t="shared" si="16"/>
        <v>47088.54</v>
      </c>
      <c r="AX14" s="133">
        <f t="shared" si="17"/>
        <v>27405.530280000003</v>
      </c>
      <c r="AY14" s="133">
        <f t="shared" si="18"/>
        <v>17422.7598</v>
      </c>
      <c r="AZ14" s="141">
        <f t="shared" si="19"/>
        <v>874.23641593200011</v>
      </c>
    </row>
    <row r="15" spans="1:52" x14ac:dyDescent="0.3">
      <c r="A15" s="114" t="s">
        <v>276</v>
      </c>
      <c r="B15" s="116" t="s">
        <v>249</v>
      </c>
      <c r="C15" s="116" t="s">
        <v>245</v>
      </c>
      <c r="D15" s="72" t="s">
        <v>334</v>
      </c>
      <c r="E15" s="181">
        <v>28.1</v>
      </c>
      <c r="F15" s="129">
        <v>54.3</v>
      </c>
      <c r="G15" s="129">
        <v>36.700000000000003</v>
      </c>
      <c r="H15" s="129">
        <f t="shared" si="0"/>
        <v>1.4795640326975474</v>
      </c>
      <c r="I15" s="129">
        <v>6.74</v>
      </c>
      <c r="J15" s="129">
        <v>10.9</v>
      </c>
      <c r="K15" s="175">
        <v>5.86</v>
      </c>
      <c r="L15" s="171">
        <v>58.4</v>
      </c>
      <c r="M15" s="129">
        <v>57.8</v>
      </c>
      <c r="N15" s="129">
        <v>35.299999999999997</v>
      </c>
      <c r="O15" s="129">
        <f t="shared" si="1"/>
        <v>1.6373937677053825</v>
      </c>
      <c r="P15" s="129">
        <v>8.01</v>
      </c>
      <c r="Q15" s="129">
        <v>5.45</v>
      </c>
      <c r="R15" s="177">
        <v>2.81</v>
      </c>
      <c r="S15" s="181">
        <v>59.8</v>
      </c>
      <c r="T15" s="129">
        <v>53.2</v>
      </c>
      <c r="U15" s="129">
        <v>43.4</v>
      </c>
      <c r="V15" s="129">
        <f t="shared" si="2"/>
        <v>1.2258064516129032</v>
      </c>
      <c r="W15" s="129">
        <v>8.73</v>
      </c>
      <c r="X15" s="129">
        <v>10.4</v>
      </c>
      <c r="Y15" s="175">
        <v>7.31</v>
      </c>
      <c r="Z15" s="171">
        <v>30.2</v>
      </c>
      <c r="AA15" s="129">
        <v>50.2</v>
      </c>
      <c r="AB15" s="129">
        <v>42.7</v>
      </c>
      <c r="AC15" s="129">
        <f t="shared" si="15"/>
        <v>1.1756440281030445</v>
      </c>
      <c r="AD15" s="129">
        <v>3.69</v>
      </c>
      <c r="AE15" s="129">
        <v>3.72</v>
      </c>
      <c r="AF15" s="177">
        <v>2.37</v>
      </c>
      <c r="AG15" s="190">
        <v>17816689</v>
      </c>
      <c r="AH15" s="133">
        <f t="shared" si="3"/>
        <v>5006489.6090000002</v>
      </c>
      <c r="AI15" s="133">
        <f t="shared" si="4"/>
        <v>2718523.8576870002</v>
      </c>
      <c r="AJ15" s="133">
        <f t="shared" si="5"/>
        <v>1837381.6865030003</v>
      </c>
      <c r="AK15" s="191">
        <f t="shared" si="6"/>
        <v>159305.49806045822</v>
      </c>
      <c r="AL15" s="184">
        <v>681600</v>
      </c>
      <c r="AM15" s="133">
        <f t="shared" si="7"/>
        <v>398054.40000000002</v>
      </c>
      <c r="AN15" s="133">
        <f t="shared" si="8"/>
        <v>230075.44320000001</v>
      </c>
      <c r="AO15" s="133">
        <f t="shared" si="9"/>
        <v>140513.20319999999</v>
      </c>
      <c r="AP15" s="196">
        <f t="shared" si="10"/>
        <v>6465.1199539200006</v>
      </c>
      <c r="AQ15" s="190">
        <v>856843</v>
      </c>
      <c r="AR15" s="133">
        <f t="shared" si="11"/>
        <v>512392.114</v>
      </c>
      <c r="AS15" s="133">
        <f t="shared" si="12"/>
        <v>272592.60464799998</v>
      </c>
      <c r="AT15" s="133">
        <f t="shared" si="13"/>
        <v>222378.17747600001</v>
      </c>
      <c r="AU15" s="191">
        <f t="shared" si="14"/>
        <v>19926.519399768797</v>
      </c>
      <c r="AV15" s="184">
        <v>163388</v>
      </c>
      <c r="AW15" s="133">
        <f t="shared" si="16"/>
        <v>49343.175999999999</v>
      </c>
      <c r="AX15" s="133">
        <f t="shared" si="17"/>
        <v>24770.274352</v>
      </c>
      <c r="AY15" s="133">
        <f t="shared" si="18"/>
        <v>21069.536152000004</v>
      </c>
      <c r="AZ15" s="141">
        <f t="shared" si="19"/>
        <v>587.05550214239997</v>
      </c>
    </row>
    <row r="16" spans="1:52" x14ac:dyDescent="0.3">
      <c r="A16" s="114" t="s">
        <v>269</v>
      </c>
      <c r="B16" s="116" t="s">
        <v>249</v>
      </c>
      <c r="C16" s="116" t="s">
        <v>245</v>
      </c>
      <c r="D16" s="72" t="s">
        <v>91</v>
      </c>
      <c r="E16" s="181">
        <v>32.1</v>
      </c>
      <c r="F16" s="129">
        <v>54.6</v>
      </c>
      <c r="G16" s="129">
        <v>37.299999999999997</v>
      </c>
      <c r="H16" s="129">
        <f t="shared" si="0"/>
        <v>1.4638069705093835</v>
      </c>
      <c r="I16" s="129">
        <v>7.06</v>
      </c>
      <c r="J16" s="129">
        <v>11.5</v>
      </c>
      <c r="K16" s="175">
        <v>6.52</v>
      </c>
      <c r="L16" s="171">
        <v>57.1</v>
      </c>
      <c r="M16" s="129">
        <v>55</v>
      </c>
      <c r="N16" s="129">
        <v>34.299999999999997</v>
      </c>
      <c r="O16" s="129">
        <f t="shared" si="1"/>
        <v>1.6034985422740526</v>
      </c>
      <c r="P16" s="129">
        <v>7.99</v>
      </c>
      <c r="Q16" s="129">
        <v>6.94</v>
      </c>
      <c r="R16" s="177">
        <v>5.13</v>
      </c>
      <c r="S16" s="181">
        <v>71.900000000000006</v>
      </c>
      <c r="T16" s="129">
        <v>48.7</v>
      </c>
      <c r="U16" s="129">
        <v>49.8</v>
      </c>
      <c r="V16" s="129">
        <f t="shared" si="2"/>
        <v>0.97791164658634544</v>
      </c>
      <c r="W16" s="129">
        <v>8.9499999999999993</v>
      </c>
      <c r="X16" s="129">
        <v>9.5500000000000007</v>
      </c>
      <c r="Y16" s="175">
        <v>7.78</v>
      </c>
      <c r="Z16" s="171">
        <v>23.7</v>
      </c>
      <c r="AA16" s="129">
        <v>55</v>
      </c>
      <c r="AB16" s="129">
        <v>38.6</v>
      </c>
      <c r="AC16" s="129">
        <f t="shared" si="15"/>
        <v>1.4248704663212435</v>
      </c>
      <c r="AD16" s="129">
        <v>3.06</v>
      </c>
      <c r="AE16" s="129">
        <v>2.4500000000000002</v>
      </c>
      <c r="AF16" s="177">
        <v>1.35</v>
      </c>
      <c r="AG16" s="190">
        <v>11546109</v>
      </c>
      <c r="AH16" s="133">
        <f t="shared" si="3"/>
        <v>3706300.9890000005</v>
      </c>
      <c r="AI16" s="133">
        <f t="shared" si="4"/>
        <v>2023640.3399940003</v>
      </c>
      <c r="AJ16" s="133">
        <f t="shared" si="5"/>
        <v>1382450.268897</v>
      </c>
      <c r="AK16" s="191">
        <f t="shared" si="6"/>
        <v>131941.35016760879</v>
      </c>
      <c r="AL16" s="184">
        <v>636908</v>
      </c>
      <c r="AM16" s="133">
        <f t="shared" si="7"/>
        <v>363674.46800000005</v>
      </c>
      <c r="AN16" s="133">
        <f t="shared" si="8"/>
        <v>200020.95740000001</v>
      </c>
      <c r="AO16" s="133">
        <f t="shared" si="9"/>
        <v>124740.34252400002</v>
      </c>
      <c r="AP16" s="196">
        <f t="shared" si="10"/>
        <v>10261.07511462</v>
      </c>
      <c r="AQ16" s="190">
        <v>443782</v>
      </c>
      <c r="AR16" s="133">
        <f t="shared" si="11"/>
        <v>319079.25800000003</v>
      </c>
      <c r="AS16" s="133">
        <f t="shared" si="12"/>
        <v>155391.59864600003</v>
      </c>
      <c r="AT16" s="133">
        <f t="shared" si="13"/>
        <v>158901.47048399999</v>
      </c>
      <c r="AU16" s="191">
        <f t="shared" si="14"/>
        <v>12089.466374658803</v>
      </c>
      <c r="AV16" s="184">
        <v>163240</v>
      </c>
      <c r="AW16" s="133">
        <f t="shared" si="16"/>
        <v>38687.879999999997</v>
      </c>
      <c r="AX16" s="133">
        <f t="shared" si="17"/>
        <v>21278.333999999999</v>
      </c>
      <c r="AY16" s="133">
        <f t="shared" si="18"/>
        <v>14933.52168</v>
      </c>
      <c r="AZ16" s="141">
        <f t="shared" si="19"/>
        <v>287.25750899999997</v>
      </c>
    </row>
    <row r="17" spans="1:52" x14ac:dyDescent="0.3">
      <c r="A17" s="114" t="s">
        <v>277</v>
      </c>
      <c r="B17" s="116" t="s">
        <v>249</v>
      </c>
      <c r="C17" s="116" t="s">
        <v>245</v>
      </c>
      <c r="D17" s="72" t="s">
        <v>250</v>
      </c>
      <c r="E17" s="181">
        <v>36.9</v>
      </c>
      <c r="F17" s="129">
        <v>54.3</v>
      </c>
      <c r="G17" s="129">
        <v>30.1</v>
      </c>
      <c r="H17" s="129">
        <f t="shared" si="0"/>
        <v>1.8039867109634549</v>
      </c>
      <c r="I17" s="129">
        <v>8.0299999999999994</v>
      </c>
      <c r="J17" s="129">
        <v>12.9</v>
      </c>
      <c r="K17" s="175">
        <v>5.85</v>
      </c>
      <c r="L17" s="171">
        <v>57.8</v>
      </c>
      <c r="M17" s="129">
        <v>55.1</v>
      </c>
      <c r="N17" s="129">
        <v>40.700000000000003</v>
      </c>
      <c r="O17" s="129">
        <f t="shared" si="1"/>
        <v>1.3538083538083538</v>
      </c>
      <c r="P17" s="129">
        <v>9.33</v>
      </c>
      <c r="Q17" s="129">
        <v>6.62</v>
      </c>
      <c r="R17" s="177">
        <v>2.71</v>
      </c>
      <c r="S17" s="181">
        <v>64.3</v>
      </c>
      <c r="T17" s="129">
        <v>51.8</v>
      </c>
      <c r="U17" s="129">
        <v>42.5</v>
      </c>
      <c r="V17" s="129">
        <f t="shared" si="2"/>
        <v>1.2188235294117646</v>
      </c>
      <c r="W17" s="129">
        <v>7.72</v>
      </c>
      <c r="X17" s="129">
        <v>12.5</v>
      </c>
      <c r="Y17" s="175">
        <v>7.11</v>
      </c>
      <c r="Z17" s="171">
        <v>46</v>
      </c>
      <c r="AA17" s="129">
        <v>58.4</v>
      </c>
      <c r="AB17" s="129">
        <v>37.700000000000003</v>
      </c>
      <c r="AC17" s="129">
        <f t="shared" si="15"/>
        <v>1.5490716180371351</v>
      </c>
      <c r="AD17" s="129">
        <v>3.84</v>
      </c>
      <c r="AE17" s="129">
        <v>6.77</v>
      </c>
      <c r="AF17" s="177">
        <v>2.94</v>
      </c>
      <c r="AG17" s="190">
        <v>22022987</v>
      </c>
      <c r="AH17" s="133">
        <f t="shared" si="3"/>
        <v>8126482.2029999997</v>
      </c>
      <c r="AI17" s="133">
        <f t="shared" si="4"/>
        <v>4412679.8362289993</v>
      </c>
      <c r="AJ17" s="133">
        <f t="shared" si="5"/>
        <v>2446071.1431029998</v>
      </c>
      <c r="AK17" s="191">
        <f t="shared" si="6"/>
        <v>258141.77041939646</v>
      </c>
      <c r="AL17" s="184">
        <v>905882</v>
      </c>
      <c r="AM17" s="133">
        <f t="shared" si="7"/>
        <v>523599.79599999991</v>
      </c>
      <c r="AN17" s="133">
        <f t="shared" si="8"/>
        <v>288503.48759599996</v>
      </c>
      <c r="AO17" s="133">
        <f t="shared" si="9"/>
        <v>213105.11697199996</v>
      </c>
      <c r="AP17" s="196">
        <f t="shared" si="10"/>
        <v>7818.4445138515985</v>
      </c>
      <c r="AQ17" s="190">
        <v>818502</v>
      </c>
      <c r="AR17" s="133">
        <f t="shared" si="11"/>
        <v>526296.78599999996</v>
      </c>
      <c r="AS17" s="133">
        <f t="shared" si="12"/>
        <v>272621.73514799995</v>
      </c>
      <c r="AT17" s="133">
        <f t="shared" si="13"/>
        <v>223676.13404999996</v>
      </c>
      <c r="AU17" s="191">
        <f t="shared" si="14"/>
        <v>19383.405369022799</v>
      </c>
      <c r="AV17" s="184">
        <v>196747</v>
      </c>
      <c r="AW17" s="133">
        <f t="shared" si="16"/>
        <v>90503.62</v>
      </c>
      <c r="AX17" s="133">
        <f t="shared" si="17"/>
        <v>52854.114079999999</v>
      </c>
      <c r="AY17" s="133">
        <f t="shared" si="18"/>
        <v>34119.864739999997</v>
      </c>
      <c r="AZ17" s="141">
        <f t="shared" si="19"/>
        <v>1553.9109539519998</v>
      </c>
    </row>
    <row r="18" spans="1:52" x14ac:dyDescent="0.3">
      <c r="A18" s="114" t="s">
        <v>263</v>
      </c>
      <c r="B18" s="116" t="s">
        <v>249</v>
      </c>
      <c r="C18" s="116" t="s">
        <v>245</v>
      </c>
      <c r="D18" s="72" t="s">
        <v>250</v>
      </c>
      <c r="E18" s="181">
        <v>33</v>
      </c>
      <c r="F18" s="129">
        <v>58.2</v>
      </c>
      <c r="G18" s="129">
        <v>35.299999999999997</v>
      </c>
      <c r="H18" s="129">
        <f t="shared" si="0"/>
        <v>1.6487252124645895</v>
      </c>
      <c r="I18" s="129">
        <v>7.12</v>
      </c>
      <c r="J18" s="129">
        <v>13</v>
      </c>
      <c r="K18" s="175">
        <v>5.83</v>
      </c>
      <c r="L18" s="171">
        <v>60.9</v>
      </c>
      <c r="M18" s="129">
        <v>56.6</v>
      </c>
      <c r="N18" s="129">
        <v>39.799999999999997</v>
      </c>
      <c r="O18" s="129">
        <f t="shared" si="1"/>
        <v>1.4221105527638191</v>
      </c>
      <c r="P18" s="129">
        <v>8.8699999999999992</v>
      </c>
      <c r="Q18" s="129">
        <v>8.35</v>
      </c>
      <c r="R18" s="177">
        <v>5.16</v>
      </c>
      <c r="S18" s="181">
        <v>64.3</v>
      </c>
      <c r="T18" s="129">
        <v>52.7</v>
      </c>
      <c r="U18" s="129">
        <v>43.9</v>
      </c>
      <c r="V18" s="129">
        <f t="shared" si="2"/>
        <v>1.2004555808656037</v>
      </c>
      <c r="W18" s="129">
        <v>8.49</v>
      </c>
      <c r="X18" s="129">
        <v>11</v>
      </c>
      <c r="Y18" s="175">
        <v>7.81</v>
      </c>
      <c r="Z18" s="171">
        <v>53.3</v>
      </c>
      <c r="AA18" s="129">
        <v>56.2</v>
      </c>
      <c r="AB18" s="129">
        <v>39</v>
      </c>
      <c r="AC18" s="129">
        <f t="shared" si="15"/>
        <v>1.441025641025641</v>
      </c>
      <c r="AD18" s="129">
        <v>4.33</v>
      </c>
      <c r="AE18" s="129">
        <v>6.58</v>
      </c>
      <c r="AF18" s="177">
        <v>3.79</v>
      </c>
      <c r="AG18" s="190">
        <v>20383986</v>
      </c>
      <c r="AH18" s="133">
        <f t="shared" si="3"/>
        <v>6726715.3799999999</v>
      </c>
      <c r="AI18" s="133">
        <f t="shared" si="4"/>
        <v>3914948.3511600001</v>
      </c>
      <c r="AJ18" s="133">
        <f t="shared" si="5"/>
        <v>2374530.5291399998</v>
      </c>
      <c r="AK18" s="191">
        <f t="shared" si="6"/>
        <v>228241.48887262802</v>
      </c>
      <c r="AL18" s="184">
        <v>952677</v>
      </c>
      <c r="AM18" s="133">
        <f t="shared" si="7"/>
        <v>580180.29299999995</v>
      </c>
      <c r="AN18" s="133">
        <f t="shared" si="8"/>
        <v>328382.04583800002</v>
      </c>
      <c r="AO18" s="133">
        <f t="shared" si="9"/>
        <v>230911.75661399998</v>
      </c>
      <c r="AP18" s="196">
        <f t="shared" si="10"/>
        <v>16944.513565240799</v>
      </c>
      <c r="AQ18" s="190">
        <v>114842</v>
      </c>
      <c r="AR18" s="133">
        <f t="shared" si="11"/>
        <v>73843.406000000003</v>
      </c>
      <c r="AS18" s="133">
        <f t="shared" si="12"/>
        <v>38915.474962000008</v>
      </c>
      <c r="AT18" s="133">
        <f t="shared" si="13"/>
        <v>32417.255233999997</v>
      </c>
      <c r="AU18" s="191">
        <f t="shared" si="14"/>
        <v>3039.2985945322002</v>
      </c>
      <c r="AV18" s="184">
        <v>110902</v>
      </c>
      <c r="AW18" s="133">
        <f t="shared" si="16"/>
        <v>59110.765999999996</v>
      </c>
      <c r="AX18" s="133">
        <f t="shared" si="17"/>
        <v>33220.250491999999</v>
      </c>
      <c r="AY18" s="133">
        <f t="shared" si="18"/>
        <v>23053.19874</v>
      </c>
      <c r="AZ18" s="141">
        <f t="shared" si="19"/>
        <v>1259.0474936467999</v>
      </c>
    </row>
    <row r="19" spans="1:52" x14ac:dyDescent="0.3">
      <c r="A19" s="114" t="s">
        <v>264</v>
      </c>
      <c r="B19" s="116" t="s">
        <v>249</v>
      </c>
      <c r="C19" s="116" t="s">
        <v>245</v>
      </c>
      <c r="D19" s="72" t="s">
        <v>250</v>
      </c>
      <c r="E19" s="181">
        <v>32.200000000000003</v>
      </c>
      <c r="F19" s="129">
        <v>59</v>
      </c>
      <c r="G19" s="129">
        <v>34</v>
      </c>
      <c r="H19" s="129">
        <f t="shared" si="0"/>
        <v>1.7352941176470589</v>
      </c>
      <c r="I19" s="129">
        <v>6.08</v>
      </c>
      <c r="J19" s="129">
        <v>9.4</v>
      </c>
      <c r="K19" s="175">
        <v>4.68</v>
      </c>
      <c r="L19" s="171">
        <v>60.4</v>
      </c>
      <c r="M19" s="129">
        <v>57.1</v>
      </c>
      <c r="N19" s="129">
        <v>39</v>
      </c>
      <c r="O19" s="129">
        <f t="shared" si="1"/>
        <v>1.4641025641025642</v>
      </c>
      <c r="P19" s="129">
        <v>8.36</v>
      </c>
      <c r="Q19" s="129">
        <v>10.1</v>
      </c>
      <c r="R19" s="177">
        <v>6.63</v>
      </c>
      <c r="S19" s="181">
        <v>66.400000000000006</v>
      </c>
      <c r="T19" s="129">
        <v>58.1</v>
      </c>
      <c r="U19" s="129">
        <v>39.700000000000003</v>
      </c>
      <c r="V19" s="129">
        <f t="shared" si="2"/>
        <v>1.4634760705289671</v>
      </c>
      <c r="W19" s="129">
        <v>6.65</v>
      </c>
      <c r="X19" s="129">
        <v>8.7100000000000009</v>
      </c>
      <c r="Y19" s="175">
        <v>5.8</v>
      </c>
      <c r="Z19" s="171">
        <v>50.3</v>
      </c>
      <c r="AA19" s="129">
        <v>60.1</v>
      </c>
      <c r="AB19" s="129">
        <v>33.5</v>
      </c>
      <c r="AC19" s="129">
        <f t="shared" si="15"/>
        <v>1.7940298507462686</v>
      </c>
      <c r="AD19" s="129">
        <v>6.79</v>
      </c>
      <c r="AE19" s="129">
        <v>11</v>
      </c>
      <c r="AF19" s="177">
        <v>5.49</v>
      </c>
      <c r="AG19" s="190">
        <v>16031969</v>
      </c>
      <c r="AH19" s="133">
        <f t="shared" si="3"/>
        <v>5162294.0180000011</v>
      </c>
      <c r="AI19" s="133">
        <f t="shared" si="4"/>
        <v>3045753.4706200003</v>
      </c>
      <c r="AJ19" s="133">
        <f t="shared" si="5"/>
        <v>1755179.9661200005</v>
      </c>
      <c r="AK19" s="191">
        <f t="shared" si="6"/>
        <v>142541.262425016</v>
      </c>
      <c r="AL19" s="184">
        <v>461389</v>
      </c>
      <c r="AM19" s="133">
        <f t="shared" si="7"/>
        <v>278678.95600000001</v>
      </c>
      <c r="AN19" s="133">
        <f t="shared" si="8"/>
        <v>159125.683876</v>
      </c>
      <c r="AO19" s="133">
        <f t="shared" si="9"/>
        <v>108684.79283999999</v>
      </c>
      <c r="AP19" s="196">
        <f t="shared" si="10"/>
        <v>10550.032840978798</v>
      </c>
      <c r="AQ19" s="190">
        <v>431427</v>
      </c>
      <c r="AR19" s="133">
        <f t="shared" si="11"/>
        <v>286467.52799999999</v>
      </c>
      <c r="AS19" s="133">
        <f t="shared" si="12"/>
        <v>166437.633768</v>
      </c>
      <c r="AT19" s="133">
        <f t="shared" si="13"/>
        <v>113727.608616</v>
      </c>
      <c r="AU19" s="191">
        <f t="shared" si="14"/>
        <v>9653.3827585439994</v>
      </c>
      <c r="AV19" s="184">
        <v>99137</v>
      </c>
      <c r="AW19" s="133">
        <f t="shared" si="16"/>
        <v>49865.910999999993</v>
      </c>
      <c r="AX19" s="133">
        <f t="shared" si="17"/>
        <v>29969.412510999995</v>
      </c>
      <c r="AY19" s="133">
        <f t="shared" si="18"/>
        <v>16705.080184999999</v>
      </c>
      <c r="AZ19" s="141">
        <f t="shared" si="19"/>
        <v>1645.3207468538999</v>
      </c>
    </row>
    <row r="20" spans="1:52" x14ac:dyDescent="0.3">
      <c r="A20" s="114" t="s">
        <v>270</v>
      </c>
      <c r="B20" s="116" t="s">
        <v>249</v>
      </c>
      <c r="C20" s="116" t="s">
        <v>245</v>
      </c>
      <c r="D20" s="72" t="s">
        <v>250</v>
      </c>
      <c r="E20" s="181">
        <v>35.4</v>
      </c>
      <c r="F20" s="129">
        <v>57</v>
      </c>
      <c r="G20" s="129">
        <v>34</v>
      </c>
      <c r="H20" s="129">
        <f t="shared" si="0"/>
        <v>1.6764705882352942</v>
      </c>
      <c r="I20" s="129">
        <v>7.54</v>
      </c>
      <c r="J20" s="129">
        <v>10.3</v>
      </c>
      <c r="K20" s="175">
        <v>6.25</v>
      </c>
      <c r="L20" s="171">
        <v>53.5</v>
      </c>
      <c r="M20" s="129">
        <v>58.4</v>
      </c>
      <c r="N20" s="129">
        <v>33.1</v>
      </c>
      <c r="O20" s="129">
        <f t="shared" si="1"/>
        <v>1.7643504531722054</v>
      </c>
      <c r="P20" s="129">
        <v>7.74</v>
      </c>
      <c r="Q20" s="129">
        <v>5.0599999999999996</v>
      </c>
      <c r="R20" s="177">
        <v>3.41</v>
      </c>
      <c r="S20" s="181">
        <v>67.7</v>
      </c>
      <c r="T20" s="129">
        <v>53.5</v>
      </c>
      <c r="U20" s="129">
        <v>44.2</v>
      </c>
      <c r="V20" s="129">
        <f t="shared" si="2"/>
        <v>1.2104072398190044</v>
      </c>
      <c r="W20" s="129">
        <v>8.5399999999999991</v>
      </c>
      <c r="X20" s="129">
        <v>10.1</v>
      </c>
      <c r="Y20" s="175">
        <v>7.87</v>
      </c>
      <c r="Z20" s="171">
        <v>32.700000000000003</v>
      </c>
      <c r="AA20" s="129">
        <v>53.1</v>
      </c>
      <c r="AB20" s="129">
        <v>42.4</v>
      </c>
      <c r="AC20" s="129">
        <f t="shared" si="15"/>
        <v>1.2523584905660379</v>
      </c>
      <c r="AD20" s="129">
        <v>2.16</v>
      </c>
      <c r="AE20" s="129">
        <v>3.52</v>
      </c>
      <c r="AF20" s="177">
        <v>1.63</v>
      </c>
      <c r="AG20" s="190">
        <v>9159212</v>
      </c>
      <c r="AH20" s="133">
        <f t="shared" si="3"/>
        <v>3242361.048</v>
      </c>
      <c r="AI20" s="133">
        <f t="shared" si="4"/>
        <v>1848145.79736</v>
      </c>
      <c r="AJ20" s="133">
        <f t="shared" si="5"/>
        <v>1102402.7563199999</v>
      </c>
      <c r="AK20" s="191">
        <f t="shared" si="6"/>
        <v>115509.112335</v>
      </c>
      <c r="AL20" s="184">
        <v>474314</v>
      </c>
      <c r="AM20" s="133">
        <f t="shared" si="7"/>
        <v>253757.99</v>
      </c>
      <c r="AN20" s="133">
        <f t="shared" si="8"/>
        <v>148194.66615999999</v>
      </c>
      <c r="AO20" s="133">
        <f t="shared" si="9"/>
        <v>83993.894690000001</v>
      </c>
      <c r="AP20" s="196">
        <f t="shared" si="10"/>
        <v>5053.4381160559997</v>
      </c>
      <c r="AQ20" s="190">
        <v>351460</v>
      </c>
      <c r="AR20" s="133">
        <f t="shared" si="11"/>
        <v>237938.42</v>
      </c>
      <c r="AS20" s="133">
        <f t="shared" si="12"/>
        <v>127297.05470000001</v>
      </c>
      <c r="AT20" s="133">
        <f t="shared" si="13"/>
        <v>105168.78164</v>
      </c>
      <c r="AU20" s="191">
        <f t="shared" si="14"/>
        <v>10018.278204890001</v>
      </c>
      <c r="AV20" s="184">
        <v>222384</v>
      </c>
      <c r="AW20" s="133">
        <f t="shared" si="16"/>
        <v>72719.568000000014</v>
      </c>
      <c r="AX20" s="133">
        <f t="shared" si="17"/>
        <v>38614.090608000013</v>
      </c>
      <c r="AY20" s="133">
        <f t="shared" si="18"/>
        <v>30833.096832000003</v>
      </c>
      <c r="AZ20" s="141">
        <f t="shared" si="19"/>
        <v>629.40967691040021</v>
      </c>
    </row>
    <row r="21" spans="1:52" x14ac:dyDescent="0.3">
      <c r="A21" s="114" t="s">
        <v>272</v>
      </c>
      <c r="B21" s="116" t="s">
        <v>249</v>
      </c>
      <c r="C21" s="116" t="s">
        <v>245</v>
      </c>
      <c r="D21" s="72" t="s">
        <v>250</v>
      </c>
      <c r="E21" s="181">
        <v>37.1</v>
      </c>
      <c r="F21" s="129">
        <v>55</v>
      </c>
      <c r="G21" s="129">
        <v>36.700000000000003</v>
      </c>
      <c r="H21" s="129">
        <f t="shared" si="0"/>
        <v>1.4986376021798364</v>
      </c>
      <c r="I21" s="129">
        <v>6.5</v>
      </c>
      <c r="J21" s="129">
        <v>6.46</v>
      </c>
      <c r="K21" s="175">
        <v>3.82</v>
      </c>
      <c r="L21" s="171">
        <v>47.9</v>
      </c>
      <c r="M21" s="129">
        <v>51.4</v>
      </c>
      <c r="N21" s="129">
        <v>29.3</v>
      </c>
      <c r="O21" s="129">
        <f t="shared" si="1"/>
        <v>1.7542662116040955</v>
      </c>
      <c r="P21" s="129">
        <v>8.2200000000000006</v>
      </c>
      <c r="Q21" s="129">
        <v>5.43</v>
      </c>
      <c r="R21" s="177">
        <v>2.89</v>
      </c>
      <c r="S21" s="181">
        <v>65</v>
      </c>
      <c r="T21" s="129">
        <v>50.6</v>
      </c>
      <c r="U21" s="129">
        <v>45.5</v>
      </c>
      <c r="V21" s="129">
        <f t="shared" si="2"/>
        <v>1.1120879120879121</v>
      </c>
      <c r="W21" s="129">
        <v>9.9</v>
      </c>
      <c r="X21" s="129">
        <v>12.5</v>
      </c>
      <c r="Y21" s="175">
        <v>9.65</v>
      </c>
      <c r="Z21" s="171">
        <v>36.1</v>
      </c>
      <c r="AA21" s="129">
        <v>52.5</v>
      </c>
      <c r="AB21" s="129">
        <v>19.8</v>
      </c>
      <c r="AC21" s="129">
        <f t="shared" si="15"/>
        <v>2.6515151515151514</v>
      </c>
      <c r="AD21" s="129">
        <v>4.22</v>
      </c>
      <c r="AE21" s="129">
        <v>2.65</v>
      </c>
      <c r="AF21" s="177">
        <v>1.1399999999999999</v>
      </c>
      <c r="AG21" s="190">
        <v>10782269</v>
      </c>
      <c r="AH21" s="133">
        <f t="shared" si="3"/>
        <v>4000221.7990000006</v>
      </c>
      <c r="AI21" s="133">
        <f t="shared" si="4"/>
        <v>2200121.9894500002</v>
      </c>
      <c r="AJ21" s="133">
        <f t="shared" si="5"/>
        <v>1468081.4002330003</v>
      </c>
      <c r="AK21" s="191">
        <f t="shared" si="6"/>
        <v>84044.659996989998</v>
      </c>
      <c r="AL21" s="184">
        <v>630201</v>
      </c>
      <c r="AM21" s="133">
        <f t="shared" si="7"/>
        <v>301866.27899999998</v>
      </c>
      <c r="AN21" s="133">
        <f t="shared" si="8"/>
        <v>155159.267406</v>
      </c>
      <c r="AO21" s="133">
        <f t="shared" si="9"/>
        <v>88446.819747000001</v>
      </c>
      <c r="AP21" s="196">
        <f t="shared" si="10"/>
        <v>4484.1028280334003</v>
      </c>
      <c r="AQ21" s="190">
        <v>608915</v>
      </c>
      <c r="AR21" s="133">
        <f t="shared" si="11"/>
        <v>395794.75</v>
      </c>
      <c r="AS21" s="133">
        <f t="shared" si="12"/>
        <v>200272.14350000001</v>
      </c>
      <c r="AT21" s="133">
        <f t="shared" si="13"/>
        <v>180086.61124999999</v>
      </c>
      <c r="AU21" s="191">
        <f t="shared" si="14"/>
        <v>19326.261847750004</v>
      </c>
      <c r="AV21" s="184">
        <v>316831</v>
      </c>
      <c r="AW21" s="133">
        <f t="shared" si="16"/>
        <v>114375.99099999999</v>
      </c>
      <c r="AX21" s="133">
        <f t="shared" si="17"/>
        <v>60047.395274999995</v>
      </c>
      <c r="AY21" s="133">
        <f t="shared" si="18"/>
        <v>22646.446217999997</v>
      </c>
      <c r="AZ21" s="141">
        <f t="shared" si="19"/>
        <v>684.54030613499981</v>
      </c>
    </row>
    <row r="22" spans="1:52" x14ac:dyDescent="0.3">
      <c r="A22" s="114" t="s">
        <v>273</v>
      </c>
      <c r="B22" s="116" t="s">
        <v>249</v>
      </c>
      <c r="C22" s="116" t="s">
        <v>245</v>
      </c>
      <c r="D22" s="72" t="s">
        <v>250</v>
      </c>
      <c r="E22" s="181">
        <v>38</v>
      </c>
      <c r="F22" s="129">
        <v>53.2</v>
      </c>
      <c r="G22" s="129">
        <v>39.5</v>
      </c>
      <c r="H22" s="129">
        <f t="shared" si="0"/>
        <v>1.3468354430379748</v>
      </c>
      <c r="I22" s="129">
        <v>7.26</v>
      </c>
      <c r="J22" s="129">
        <v>11.3</v>
      </c>
      <c r="K22" s="175">
        <v>6.91</v>
      </c>
      <c r="L22" s="171">
        <v>48.4</v>
      </c>
      <c r="M22" s="129">
        <v>55</v>
      </c>
      <c r="N22" s="129">
        <v>25.1</v>
      </c>
      <c r="O22" s="129">
        <f t="shared" si="1"/>
        <v>2.191235059760956</v>
      </c>
      <c r="P22" s="129">
        <v>7.26</v>
      </c>
      <c r="Q22" s="129">
        <v>5.64</v>
      </c>
      <c r="R22" s="177">
        <v>1.52</v>
      </c>
      <c r="S22" s="181">
        <v>56.9</v>
      </c>
      <c r="T22" s="129">
        <v>52</v>
      </c>
      <c r="U22" s="129">
        <v>45.7</v>
      </c>
      <c r="V22" s="129">
        <f t="shared" si="2"/>
        <v>1.1378555798687089</v>
      </c>
      <c r="W22" s="129">
        <v>6.77</v>
      </c>
      <c r="X22" s="129">
        <v>7.46</v>
      </c>
      <c r="Y22" s="175">
        <v>5.65</v>
      </c>
      <c r="Z22" s="171">
        <v>32.700000000000003</v>
      </c>
      <c r="AA22" s="129">
        <v>56.7</v>
      </c>
      <c r="AB22" s="129">
        <v>37.299999999999997</v>
      </c>
      <c r="AC22" s="129">
        <f t="shared" si="15"/>
        <v>1.5201072386058982</v>
      </c>
      <c r="AD22" s="129">
        <v>3.34</v>
      </c>
      <c r="AE22" s="129">
        <v>2.96</v>
      </c>
      <c r="AF22" s="177">
        <v>1.31</v>
      </c>
      <c r="AG22" s="190">
        <v>16112045</v>
      </c>
      <c r="AH22" s="133">
        <f t="shared" si="3"/>
        <v>6122577.0999999996</v>
      </c>
      <c r="AI22" s="133">
        <f t="shared" si="4"/>
        <v>3257211.0171999997</v>
      </c>
      <c r="AJ22" s="133">
        <f t="shared" si="5"/>
        <v>2418417.9545</v>
      </c>
      <c r="AK22" s="191">
        <f t="shared" si="6"/>
        <v>225073.28128852</v>
      </c>
      <c r="AL22" s="184">
        <v>439967</v>
      </c>
      <c r="AM22" s="133">
        <f t="shared" si="7"/>
        <v>212944.02800000002</v>
      </c>
      <c r="AN22" s="133">
        <f t="shared" si="8"/>
        <v>117119.21540000002</v>
      </c>
      <c r="AO22" s="133">
        <f t="shared" si="9"/>
        <v>53448.951028000003</v>
      </c>
      <c r="AP22" s="196">
        <f t="shared" si="10"/>
        <v>1780.2120740800001</v>
      </c>
      <c r="AQ22" s="190">
        <v>309458</v>
      </c>
      <c r="AR22" s="133">
        <f t="shared" si="11"/>
        <v>176081.60199999998</v>
      </c>
      <c r="AS22" s="133">
        <f t="shared" si="12"/>
        <v>91562.433039999989</v>
      </c>
      <c r="AT22" s="133">
        <f t="shared" si="13"/>
        <v>80469.292113999996</v>
      </c>
      <c r="AU22" s="191">
        <f t="shared" si="14"/>
        <v>5173.2774667599997</v>
      </c>
      <c r="AV22" s="184">
        <v>222403</v>
      </c>
      <c r="AW22" s="133">
        <f t="shared" si="16"/>
        <v>72725.781000000003</v>
      </c>
      <c r="AX22" s="133">
        <f t="shared" si="17"/>
        <v>41235.517827000003</v>
      </c>
      <c r="AY22" s="133">
        <f t="shared" si="18"/>
        <v>27126.716313000001</v>
      </c>
      <c r="AZ22" s="141">
        <f t="shared" si="19"/>
        <v>540.18528353370004</v>
      </c>
    </row>
    <row r="23" spans="1:52" x14ac:dyDescent="0.3">
      <c r="A23" s="114" t="s">
        <v>278</v>
      </c>
      <c r="B23" s="116" t="s">
        <v>249</v>
      </c>
      <c r="C23" s="116" t="s">
        <v>245</v>
      </c>
      <c r="D23" s="72" t="s">
        <v>250</v>
      </c>
      <c r="E23" s="181">
        <v>33.200000000000003</v>
      </c>
      <c r="F23" s="129">
        <v>54.5</v>
      </c>
      <c r="G23" s="129">
        <v>36.1</v>
      </c>
      <c r="H23" s="129">
        <f t="shared" si="0"/>
        <v>1.5096952908587258</v>
      </c>
      <c r="I23" s="129">
        <v>6.66</v>
      </c>
      <c r="J23" s="129">
        <v>12</v>
      </c>
      <c r="K23" s="175">
        <v>6.08</v>
      </c>
      <c r="L23" s="171">
        <v>61.7</v>
      </c>
      <c r="M23" s="129">
        <v>55</v>
      </c>
      <c r="N23" s="129">
        <v>38.700000000000003</v>
      </c>
      <c r="O23" s="129">
        <f t="shared" si="1"/>
        <v>1.421188630490956</v>
      </c>
      <c r="P23" s="129">
        <v>10.199999999999999</v>
      </c>
      <c r="Q23" s="129">
        <v>7.15</v>
      </c>
      <c r="R23" s="177">
        <v>4</v>
      </c>
      <c r="S23" s="181">
        <v>62</v>
      </c>
      <c r="T23" s="129">
        <v>52.5</v>
      </c>
      <c r="U23" s="129">
        <v>44</v>
      </c>
      <c r="V23" s="129">
        <f t="shared" si="2"/>
        <v>1.1931818181818181</v>
      </c>
      <c r="W23" s="129">
        <v>8.32</v>
      </c>
      <c r="X23" s="129">
        <v>9.8000000000000007</v>
      </c>
      <c r="Y23" s="175">
        <v>6.37</v>
      </c>
      <c r="Z23" s="171">
        <v>31.4</v>
      </c>
      <c r="AA23" s="129">
        <v>54.6</v>
      </c>
      <c r="AB23" s="129">
        <v>39.799999999999997</v>
      </c>
      <c r="AC23" s="129">
        <f t="shared" si="15"/>
        <v>1.3718592964824121</v>
      </c>
      <c r="AD23" s="129">
        <v>3.24</v>
      </c>
      <c r="AE23" s="129">
        <v>2.58</v>
      </c>
      <c r="AF23" s="177">
        <v>1.24</v>
      </c>
      <c r="AG23" s="190">
        <v>31072140</v>
      </c>
      <c r="AH23" s="133">
        <f t="shared" si="3"/>
        <v>10315950.48</v>
      </c>
      <c r="AI23" s="133">
        <f t="shared" si="4"/>
        <v>5622193.0115999999</v>
      </c>
      <c r="AJ23" s="133">
        <f t="shared" si="5"/>
        <v>3724058.1232799999</v>
      </c>
      <c r="AK23" s="191">
        <f t="shared" si="6"/>
        <v>341829.33510527998</v>
      </c>
      <c r="AL23" s="184">
        <v>642440</v>
      </c>
      <c r="AM23" s="133">
        <f t="shared" si="7"/>
        <v>396385.48</v>
      </c>
      <c r="AN23" s="133">
        <f t="shared" si="8"/>
        <v>218012.014</v>
      </c>
      <c r="AO23" s="133">
        <f t="shared" si="9"/>
        <v>153401.18076000002</v>
      </c>
      <c r="AP23" s="196">
        <f t="shared" si="10"/>
        <v>8720.48056</v>
      </c>
      <c r="AQ23" s="190">
        <v>810144</v>
      </c>
      <c r="AR23" s="133">
        <f t="shared" si="11"/>
        <v>502289.28</v>
      </c>
      <c r="AS23" s="133">
        <f t="shared" si="12"/>
        <v>263701.87200000003</v>
      </c>
      <c r="AT23" s="133">
        <f t="shared" si="13"/>
        <v>221007.28320000001</v>
      </c>
      <c r="AU23" s="191">
        <f t="shared" si="14"/>
        <v>16797.809246400004</v>
      </c>
      <c r="AV23" s="184">
        <v>312512</v>
      </c>
      <c r="AW23" s="133">
        <f t="shared" si="16"/>
        <v>98128.767999999982</v>
      </c>
      <c r="AX23" s="133">
        <f t="shared" si="17"/>
        <v>53578.307327999995</v>
      </c>
      <c r="AY23" s="133">
        <f t="shared" si="18"/>
        <v>39055.249663999988</v>
      </c>
      <c r="AZ23" s="141">
        <f t="shared" si="19"/>
        <v>664.37101086719997</v>
      </c>
    </row>
    <row r="24" spans="1:52" x14ac:dyDescent="0.3">
      <c r="A24" s="114" t="s">
        <v>253</v>
      </c>
      <c r="B24" s="116" t="s">
        <v>249</v>
      </c>
      <c r="C24" s="116" t="s">
        <v>242</v>
      </c>
      <c r="D24" s="72" t="s">
        <v>91</v>
      </c>
      <c r="E24" s="181">
        <v>41.2</v>
      </c>
      <c r="F24" s="129">
        <v>57.5</v>
      </c>
      <c r="G24" s="129">
        <v>35.4</v>
      </c>
      <c r="H24" s="129">
        <f t="shared" si="0"/>
        <v>1.6242937853107344</v>
      </c>
      <c r="I24" s="129">
        <v>8.17</v>
      </c>
      <c r="J24" s="129">
        <v>12</v>
      </c>
      <c r="K24" s="175">
        <v>7.46</v>
      </c>
      <c r="L24" s="171">
        <v>41.1</v>
      </c>
      <c r="M24" s="129">
        <v>56.1</v>
      </c>
      <c r="N24" s="129">
        <v>29.1</v>
      </c>
      <c r="O24" s="129">
        <f t="shared" si="1"/>
        <v>1.9278350515463918</v>
      </c>
      <c r="P24" s="129">
        <v>11.4</v>
      </c>
      <c r="Q24" s="129">
        <v>7</v>
      </c>
      <c r="R24" s="177">
        <v>3.93</v>
      </c>
      <c r="S24" s="181">
        <v>57.1</v>
      </c>
      <c r="T24" s="129">
        <v>55.2</v>
      </c>
      <c r="U24" s="129">
        <v>42.4</v>
      </c>
      <c r="V24" s="129">
        <f t="shared" si="2"/>
        <v>1.3018867924528303</v>
      </c>
      <c r="W24" s="129">
        <v>9.8000000000000007</v>
      </c>
      <c r="X24" s="129">
        <v>11.6</v>
      </c>
      <c r="Y24" s="175">
        <v>8.8699999999999992</v>
      </c>
      <c r="Z24" s="171">
        <v>31.9</v>
      </c>
      <c r="AA24" s="129">
        <v>62.3</v>
      </c>
      <c r="AB24" s="129">
        <v>33.700000000000003</v>
      </c>
      <c r="AC24" s="129">
        <f t="shared" si="15"/>
        <v>1.8486646884272995</v>
      </c>
      <c r="AD24" s="129">
        <v>5.14</v>
      </c>
      <c r="AE24" s="129">
        <v>7.52</v>
      </c>
      <c r="AF24" s="177">
        <v>4.18</v>
      </c>
      <c r="AG24" s="190">
        <v>17603918</v>
      </c>
      <c r="AH24" s="133">
        <f t="shared" si="3"/>
        <v>7252814.216</v>
      </c>
      <c r="AI24" s="133">
        <f t="shared" si="4"/>
        <v>4170368.1742000002</v>
      </c>
      <c r="AJ24" s="133">
        <f t="shared" si="5"/>
        <v>2567496.2324640001</v>
      </c>
      <c r="AK24" s="191">
        <f t="shared" si="6"/>
        <v>311109.46579531999</v>
      </c>
      <c r="AL24" s="184">
        <v>567713</v>
      </c>
      <c r="AM24" s="133">
        <f t="shared" si="7"/>
        <v>233330.04300000001</v>
      </c>
      <c r="AN24" s="133">
        <f t="shared" si="8"/>
        <v>130898.154123</v>
      </c>
      <c r="AO24" s="133">
        <f t="shared" si="9"/>
        <v>67899.042513000008</v>
      </c>
      <c r="AP24" s="196">
        <f t="shared" si="10"/>
        <v>5144.2974570339002</v>
      </c>
      <c r="AQ24" s="190">
        <v>202020</v>
      </c>
      <c r="AR24" s="133">
        <f t="shared" si="11"/>
        <v>115353.42</v>
      </c>
      <c r="AS24" s="133">
        <f t="shared" si="12"/>
        <v>63675.08784</v>
      </c>
      <c r="AT24" s="133">
        <f t="shared" si="13"/>
        <v>48909.850079999997</v>
      </c>
      <c r="AU24" s="191">
        <f t="shared" si="14"/>
        <v>5647.9802914080001</v>
      </c>
      <c r="AV24" s="184">
        <v>182569</v>
      </c>
      <c r="AW24" s="133">
        <f t="shared" si="16"/>
        <v>58239.510999999999</v>
      </c>
      <c r="AX24" s="133">
        <f t="shared" si="17"/>
        <v>36283.215353</v>
      </c>
      <c r="AY24" s="133">
        <f t="shared" si="18"/>
        <v>19626.715207000001</v>
      </c>
      <c r="AZ24" s="141">
        <f t="shared" si="19"/>
        <v>1516.6384017553999</v>
      </c>
    </row>
    <row r="25" spans="1:52" x14ac:dyDescent="0.3">
      <c r="A25" s="114" t="s">
        <v>259</v>
      </c>
      <c r="B25" s="116" t="s">
        <v>249</v>
      </c>
      <c r="C25" s="116" t="s">
        <v>242</v>
      </c>
      <c r="D25" s="72" t="s">
        <v>334</v>
      </c>
      <c r="E25" s="181">
        <v>30.9</v>
      </c>
      <c r="F25" s="129">
        <v>58.7</v>
      </c>
      <c r="G25" s="129">
        <v>36.1</v>
      </c>
      <c r="H25" s="129">
        <f t="shared" si="0"/>
        <v>1.6260387811634349</v>
      </c>
      <c r="I25" s="129">
        <v>3.25</v>
      </c>
      <c r="J25" s="129">
        <v>12</v>
      </c>
      <c r="K25" s="175">
        <v>3.17</v>
      </c>
      <c r="L25" s="171">
        <v>48.6</v>
      </c>
      <c r="M25" s="129">
        <v>55.6</v>
      </c>
      <c r="N25" s="129">
        <v>41.3</v>
      </c>
      <c r="O25" s="129">
        <f t="shared" si="1"/>
        <v>1.3462469733656175</v>
      </c>
      <c r="P25" s="129">
        <v>9.32</v>
      </c>
      <c r="Q25" s="129">
        <v>9.2200000000000006</v>
      </c>
      <c r="R25" s="177">
        <v>6.75</v>
      </c>
      <c r="S25" s="181">
        <v>46.2</v>
      </c>
      <c r="T25" s="129">
        <v>55.5</v>
      </c>
      <c r="U25" s="129">
        <v>42.1</v>
      </c>
      <c r="V25" s="129">
        <f t="shared" si="2"/>
        <v>1.3182897862232779</v>
      </c>
      <c r="W25" s="129">
        <v>7.64</v>
      </c>
      <c r="X25" s="129">
        <v>9.64</v>
      </c>
      <c r="Y25" s="175">
        <v>6.29</v>
      </c>
      <c r="Z25" s="171">
        <v>36.799999999999997</v>
      </c>
      <c r="AA25" s="129">
        <v>59.9</v>
      </c>
      <c r="AB25" s="129">
        <v>9.1300000000000008</v>
      </c>
      <c r="AC25" s="129">
        <f t="shared" si="15"/>
        <v>6.5607886089813796</v>
      </c>
      <c r="AD25" s="129">
        <v>7.63</v>
      </c>
      <c r="AE25" s="129">
        <v>5.05</v>
      </c>
      <c r="AF25" s="177">
        <v>2.56</v>
      </c>
      <c r="AG25" s="190">
        <v>27032940</v>
      </c>
      <c r="AH25" s="133">
        <f t="shared" si="3"/>
        <v>8353178.46</v>
      </c>
      <c r="AI25" s="133">
        <f t="shared" si="4"/>
        <v>4903315.7560200002</v>
      </c>
      <c r="AJ25" s="133">
        <f t="shared" si="5"/>
        <v>3015497.4240600001</v>
      </c>
      <c r="AK25" s="191">
        <f t="shared" si="6"/>
        <v>155435.10946583399</v>
      </c>
      <c r="AL25" s="184">
        <v>663977</v>
      </c>
      <c r="AM25" s="133">
        <f t="shared" si="7"/>
        <v>322692.82199999999</v>
      </c>
      <c r="AN25" s="133">
        <f t="shared" si="8"/>
        <v>179417.20903200001</v>
      </c>
      <c r="AO25" s="133">
        <f t="shared" si="9"/>
        <v>133272.13548599998</v>
      </c>
      <c r="AP25" s="196">
        <f t="shared" si="10"/>
        <v>12110.661609660001</v>
      </c>
      <c r="AQ25" s="190">
        <v>668299</v>
      </c>
      <c r="AR25" s="133">
        <f t="shared" si="11"/>
        <v>308754.13800000004</v>
      </c>
      <c r="AS25" s="133">
        <f t="shared" si="12"/>
        <v>171358.54659000001</v>
      </c>
      <c r="AT25" s="133">
        <f t="shared" si="13"/>
        <v>129985.49209800002</v>
      </c>
      <c r="AU25" s="191">
        <f t="shared" si="14"/>
        <v>10778.452580511002</v>
      </c>
      <c r="AV25" s="184">
        <v>228711</v>
      </c>
      <c r="AW25" s="133">
        <f t="shared" si="16"/>
        <v>84165.647999999986</v>
      </c>
      <c r="AX25" s="133">
        <f t="shared" si="17"/>
        <v>50415.223151999991</v>
      </c>
      <c r="AY25" s="133">
        <f t="shared" si="18"/>
        <v>7684.3236623999992</v>
      </c>
      <c r="AZ25" s="141">
        <f t="shared" si="19"/>
        <v>1290.6297126911998</v>
      </c>
    </row>
    <row r="26" spans="1:52" x14ac:dyDescent="0.3">
      <c r="A26" s="114" t="s">
        <v>261</v>
      </c>
      <c r="B26" s="116" t="s">
        <v>249</v>
      </c>
      <c r="C26" s="116" t="s">
        <v>242</v>
      </c>
      <c r="D26" s="72" t="s">
        <v>334</v>
      </c>
      <c r="E26" s="181">
        <v>35.700000000000003</v>
      </c>
      <c r="F26" s="129">
        <v>55</v>
      </c>
      <c r="G26" s="129">
        <v>38</v>
      </c>
      <c r="H26" s="129">
        <f t="shared" si="0"/>
        <v>1.4473684210526316</v>
      </c>
      <c r="I26" s="129">
        <v>6.59</v>
      </c>
      <c r="J26" s="129">
        <v>13</v>
      </c>
      <c r="K26" s="175">
        <v>5.88</v>
      </c>
      <c r="L26" s="171">
        <v>57.6</v>
      </c>
      <c r="M26" s="129">
        <v>54.2</v>
      </c>
      <c r="N26" s="129">
        <v>38.200000000000003</v>
      </c>
      <c r="O26" s="129">
        <f t="shared" si="1"/>
        <v>1.418848167539267</v>
      </c>
      <c r="P26" s="129">
        <v>12.6</v>
      </c>
      <c r="Q26" s="129">
        <v>9.0299999999999994</v>
      </c>
      <c r="R26" s="177">
        <v>6.63</v>
      </c>
      <c r="S26" s="181">
        <v>55.2</v>
      </c>
      <c r="T26" s="129">
        <v>51.9</v>
      </c>
      <c r="U26" s="129">
        <v>43.3</v>
      </c>
      <c r="V26" s="129">
        <f t="shared" si="2"/>
        <v>1.1986143187066975</v>
      </c>
      <c r="W26" s="129">
        <v>12.7</v>
      </c>
      <c r="X26" s="129">
        <v>14.1</v>
      </c>
      <c r="Y26" s="175">
        <v>10.9</v>
      </c>
      <c r="Z26" s="171">
        <v>39.299999999999997</v>
      </c>
      <c r="AA26" s="129">
        <v>56.2</v>
      </c>
      <c r="AB26" s="129">
        <v>38.6</v>
      </c>
      <c r="AC26" s="129">
        <f t="shared" si="15"/>
        <v>1.455958549222798</v>
      </c>
      <c r="AD26" s="129">
        <v>7.36</v>
      </c>
      <c r="AE26" s="129">
        <v>10.9</v>
      </c>
      <c r="AF26" s="177">
        <v>1.86</v>
      </c>
      <c r="AG26" s="190">
        <f>11129629*(10400/10800)</f>
        <v>10717420.518518519</v>
      </c>
      <c r="AH26" s="133">
        <f t="shared" si="3"/>
        <v>3826119.1251111114</v>
      </c>
      <c r="AI26" s="133">
        <f t="shared" si="4"/>
        <v>2104365.5188111113</v>
      </c>
      <c r="AJ26" s="133">
        <f t="shared" si="5"/>
        <v>1453925.2675422225</v>
      </c>
      <c r="AK26" s="191">
        <f t="shared" si="6"/>
        <v>123736.69250609334</v>
      </c>
      <c r="AL26" s="184">
        <v>762236</v>
      </c>
      <c r="AM26" s="133">
        <f t="shared" si="7"/>
        <v>439047.93599999999</v>
      </c>
      <c r="AN26" s="133">
        <f t="shared" si="8"/>
        <v>237963.98131200002</v>
      </c>
      <c r="AO26" s="133">
        <f t="shared" si="9"/>
        <v>167716.311552</v>
      </c>
      <c r="AP26" s="196">
        <f t="shared" si="10"/>
        <v>15777.011960985599</v>
      </c>
      <c r="AQ26" s="190">
        <v>779178</v>
      </c>
      <c r="AR26" s="133">
        <f t="shared" si="11"/>
        <v>430106.25599999999</v>
      </c>
      <c r="AS26" s="133">
        <f t="shared" si="12"/>
        <v>223225.14686400001</v>
      </c>
      <c r="AT26" s="133">
        <f t="shared" si="13"/>
        <v>186236.00884799997</v>
      </c>
      <c r="AU26" s="191">
        <f t="shared" si="14"/>
        <v>24331.541008176002</v>
      </c>
      <c r="AV26" s="184">
        <v>265627</v>
      </c>
      <c r="AW26" s="133">
        <f t="shared" si="16"/>
        <v>104391.41099999999</v>
      </c>
      <c r="AX26" s="133">
        <f t="shared" si="17"/>
        <v>58667.972981999999</v>
      </c>
      <c r="AY26" s="133">
        <f t="shared" si="18"/>
        <v>40295.084646000003</v>
      </c>
      <c r="AZ26" s="141">
        <f t="shared" si="19"/>
        <v>1091.2242974652002</v>
      </c>
    </row>
    <row r="27" spans="1:52" x14ac:dyDescent="0.3">
      <c r="A27" s="114" t="s">
        <v>262</v>
      </c>
      <c r="B27" s="116" t="s">
        <v>249</v>
      </c>
      <c r="C27" s="116" t="s">
        <v>242</v>
      </c>
      <c r="D27" s="72" t="s">
        <v>334</v>
      </c>
      <c r="E27" s="181">
        <v>34.299999999999997</v>
      </c>
      <c r="F27" s="129">
        <v>56.7</v>
      </c>
      <c r="G27" s="129">
        <v>37.6</v>
      </c>
      <c r="H27" s="129">
        <f t="shared" si="0"/>
        <v>1.5079787234042554</v>
      </c>
      <c r="I27" s="129">
        <v>6.24</v>
      </c>
      <c r="J27" s="129">
        <v>12</v>
      </c>
      <c r="K27" s="175">
        <v>6.3</v>
      </c>
      <c r="L27" s="171">
        <v>54.3</v>
      </c>
      <c r="M27" s="129">
        <v>55.8</v>
      </c>
      <c r="N27" s="129">
        <v>41.1</v>
      </c>
      <c r="O27" s="129">
        <f t="shared" si="1"/>
        <v>1.3576642335766422</v>
      </c>
      <c r="P27" s="129">
        <v>11.3</v>
      </c>
      <c r="Q27" s="129">
        <v>9.19</v>
      </c>
      <c r="R27" s="177">
        <v>6.11</v>
      </c>
      <c r="S27" s="181">
        <v>49.7</v>
      </c>
      <c r="T27" s="129">
        <v>54.8</v>
      </c>
      <c r="U27" s="129">
        <v>42.2</v>
      </c>
      <c r="V27" s="129">
        <f t="shared" si="2"/>
        <v>1.2985781990521326</v>
      </c>
      <c r="W27" s="129">
        <v>9.57</v>
      </c>
      <c r="X27" s="129">
        <v>11.8</v>
      </c>
      <c r="Y27" s="175">
        <v>8.74</v>
      </c>
      <c r="Z27" s="171">
        <v>32.700000000000003</v>
      </c>
      <c r="AA27" s="129">
        <v>61.1</v>
      </c>
      <c r="AB27" s="129">
        <v>33</v>
      </c>
      <c r="AC27" s="129">
        <f t="shared" si="15"/>
        <v>1.8515151515151516</v>
      </c>
      <c r="AD27" s="129">
        <v>4.4800000000000004</v>
      </c>
      <c r="AE27" s="129">
        <v>7.76</v>
      </c>
      <c r="AF27" s="177">
        <v>3.54</v>
      </c>
      <c r="AG27" s="190">
        <f>11962529*(10400/10800)</f>
        <v>11519472.370370369</v>
      </c>
      <c r="AH27" s="133">
        <f t="shared" si="3"/>
        <v>3951179.0230370369</v>
      </c>
      <c r="AI27" s="133">
        <f t="shared" si="4"/>
        <v>2240318.5060620001</v>
      </c>
      <c r="AJ27" s="133">
        <f t="shared" si="5"/>
        <v>1485643.3126619258</v>
      </c>
      <c r="AK27" s="191">
        <f t="shared" si="6"/>
        <v>141140.06588190599</v>
      </c>
      <c r="AL27" s="184">
        <f>562345*(10400/10800)</f>
        <v>541517.40740740742</v>
      </c>
      <c r="AM27" s="133">
        <f t="shared" si="7"/>
        <v>294043.95222222223</v>
      </c>
      <c r="AN27" s="133">
        <f t="shared" si="8"/>
        <v>164076.52533999999</v>
      </c>
      <c r="AO27" s="133">
        <f t="shared" si="9"/>
        <v>120852.06436333334</v>
      </c>
      <c r="AP27" s="196">
        <f t="shared" si="10"/>
        <v>10025.075698274</v>
      </c>
      <c r="AQ27" s="190">
        <v>715817</v>
      </c>
      <c r="AR27" s="133">
        <f t="shared" si="11"/>
        <v>355761.049</v>
      </c>
      <c r="AS27" s="133">
        <f t="shared" si="12"/>
        <v>194957.054852</v>
      </c>
      <c r="AT27" s="133">
        <f t="shared" si="13"/>
        <v>150131.16267800002</v>
      </c>
      <c r="AU27" s="191">
        <f t="shared" si="14"/>
        <v>17039.2465940648</v>
      </c>
      <c r="AV27" s="184">
        <v>412277</v>
      </c>
      <c r="AW27" s="133">
        <f t="shared" si="16"/>
        <v>134814.579</v>
      </c>
      <c r="AX27" s="133">
        <f t="shared" si="17"/>
        <v>82371.707769000001</v>
      </c>
      <c r="AY27" s="133">
        <f t="shared" si="18"/>
        <v>44488.811069999996</v>
      </c>
      <c r="AZ27" s="141">
        <f t="shared" si="19"/>
        <v>2915.9584550226004</v>
      </c>
    </row>
    <row r="28" spans="1:52" x14ac:dyDescent="0.3">
      <c r="A28" s="114" t="s">
        <v>254</v>
      </c>
      <c r="B28" s="116" t="s">
        <v>249</v>
      </c>
      <c r="C28" s="116" t="s">
        <v>242</v>
      </c>
      <c r="D28" s="72" t="s">
        <v>91</v>
      </c>
      <c r="E28" s="181">
        <v>40.1</v>
      </c>
      <c r="F28" s="129">
        <v>59.7</v>
      </c>
      <c r="G28" s="129">
        <v>30.1</v>
      </c>
      <c r="H28" s="129">
        <f t="shared" si="0"/>
        <v>1.9833887043189369</v>
      </c>
      <c r="I28" s="129">
        <v>6.72</v>
      </c>
      <c r="J28" s="129">
        <v>11.8</v>
      </c>
      <c r="K28" s="175">
        <v>5.76</v>
      </c>
      <c r="L28" s="171">
        <v>38.200000000000003</v>
      </c>
      <c r="M28" s="129">
        <v>64.400000000000006</v>
      </c>
      <c r="N28" s="129">
        <v>18.2</v>
      </c>
      <c r="O28" s="129">
        <f t="shared" si="1"/>
        <v>3.5384615384615388</v>
      </c>
      <c r="P28" s="129">
        <v>9.42</v>
      </c>
      <c r="Q28" s="129">
        <v>7.42</v>
      </c>
      <c r="R28" s="177">
        <v>3.9</v>
      </c>
      <c r="S28" s="181">
        <v>58</v>
      </c>
      <c r="T28" s="129">
        <v>56</v>
      </c>
      <c r="U28" s="129">
        <v>41.7</v>
      </c>
      <c r="V28" s="129">
        <f t="shared" si="2"/>
        <v>1.3429256594724219</v>
      </c>
      <c r="W28" s="129">
        <v>11.1</v>
      </c>
      <c r="X28" s="129">
        <v>11.6</v>
      </c>
      <c r="Y28" s="175">
        <v>8.48</v>
      </c>
      <c r="Z28" s="171">
        <v>42.8</v>
      </c>
      <c r="AA28" s="129">
        <v>64.599999999999994</v>
      </c>
      <c r="AB28" s="129">
        <v>31.4</v>
      </c>
      <c r="AC28" s="129">
        <f t="shared" si="15"/>
        <v>2.057324840764331</v>
      </c>
      <c r="AD28" s="129">
        <v>4.7699999999999996</v>
      </c>
      <c r="AE28" s="129">
        <v>7.38</v>
      </c>
      <c r="AF28" s="177">
        <v>4.07</v>
      </c>
      <c r="AG28" s="190">
        <v>19508934</v>
      </c>
      <c r="AH28" s="133">
        <f t="shared" si="3"/>
        <v>7823082.534</v>
      </c>
      <c r="AI28" s="133">
        <f t="shared" si="4"/>
        <v>4670380.2727979999</v>
      </c>
      <c r="AJ28" s="133">
        <f t="shared" si="5"/>
        <v>2354747.8427340002</v>
      </c>
      <c r="AK28" s="191">
        <f t="shared" si="6"/>
        <v>269013.90371316479</v>
      </c>
      <c r="AL28" s="184">
        <v>734934</v>
      </c>
      <c r="AM28" s="133">
        <f t="shared" si="7"/>
        <v>280744.788</v>
      </c>
      <c r="AN28" s="133">
        <f t="shared" si="8"/>
        <v>180799.64347200003</v>
      </c>
      <c r="AO28" s="133">
        <f t="shared" si="9"/>
        <v>51095.551415999995</v>
      </c>
      <c r="AP28" s="196">
        <f t="shared" si="10"/>
        <v>7051.1860954080012</v>
      </c>
      <c r="AQ28" s="190">
        <v>354106</v>
      </c>
      <c r="AR28" s="133">
        <f t="shared" si="11"/>
        <v>205381.48</v>
      </c>
      <c r="AS28" s="133">
        <f t="shared" si="12"/>
        <v>115013.62880000001</v>
      </c>
      <c r="AT28" s="133">
        <f t="shared" si="13"/>
        <v>85644.077160000015</v>
      </c>
      <c r="AU28" s="191">
        <f t="shared" si="14"/>
        <v>9753.1557222400006</v>
      </c>
      <c r="AV28" s="184">
        <v>150245</v>
      </c>
      <c r="AW28" s="133">
        <f t="shared" si="16"/>
        <v>64304.86</v>
      </c>
      <c r="AX28" s="133">
        <f t="shared" si="17"/>
        <v>41540.939559999999</v>
      </c>
      <c r="AY28" s="133">
        <f t="shared" si="18"/>
        <v>20191.726039999998</v>
      </c>
      <c r="AZ28" s="141">
        <f t="shared" si="19"/>
        <v>1690.7162400919999</v>
      </c>
    </row>
    <row r="29" spans="1:52" x14ac:dyDescent="0.3">
      <c r="A29" s="114" t="s">
        <v>255</v>
      </c>
      <c r="B29" s="116" t="s">
        <v>249</v>
      </c>
      <c r="C29" s="116" t="s">
        <v>242</v>
      </c>
      <c r="D29" s="72" t="s">
        <v>91</v>
      </c>
      <c r="E29" s="181">
        <v>38.299999999999997</v>
      </c>
      <c r="F29" s="129">
        <v>57.2</v>
      </c>
      <c r="G29" s="129">
        <v>36.200000000000003</v>
      </c>
      <c r="H29" s="129">
        <f t="shared" si="0"/>
        <v>1.580110497237569</v>
      </c>
      <c r="I29" s="129">
        <v>7.04</v>
      </c>
      <c r="J29" s="129">
        <v>12.5</v>
      </c>
      <c r="K29" s="175">
        <v>6.3</v>
      </c>
      <c r="L29" s="171">
        <v>56.9</v>
      </c>
      <c r="M29" s="129">
        <v>53.3</v>
      </c>
      <c r="N29" s="129">
        <v>41.2</v>
      </c>
      <c r="O29" s="129">
        <f t="shared" si="1"/>
        <v>1.2936893203883493</v>
      </c>
      <c r="P29" s="129">
        <v>8.9</v>
      </c>
      <c r="Q29" s="129">
        <v>4.9000000000000004</v>
      </c>
      <c r="R29" s="177">
        <v>2.68</v>
      </c>
      <c r="S29" s="181">
        <v>23.2</v>
      </c>
      <c r="T29" s="129">
        <v>62.6</v>
      </c>
      <c r="U29" s="129">
        <v>32.200000000000003</v>
      </c>
      <c r="V29" s="129">
        <f t="shared" si="2"/>
        <v>1.9440993788819874</v>
      </c>
      <c r="W29" s="129">
        <v>8.4600000000000009</v>
      </c>
      <c r="X29" s="129">
        <v>15</v>
      </c>
      <c r="Y29" s="175">
        <v>6.99</v>
      </c>
      <c r="Z29" s="171">
        <v>38.200000000000003</v>
      </c>
      <c r="AA29" s="129">
        <v>62.4</v>
      </c>
      <c r="AB29" s="129">
        <v>32.700000000000003</v>
      </c>
      <c r="AC29" s="129">
        <f t="shared" si="15"/>
        <v>1.9082568807339448</v>
      </c>
      <c r="AD29" s="129">
        <v>4.0999999999999996</v>
      </c>
      <c r="AE29" s="129">
        <v>8.8000000000000007</v>
      </c>
      <c r="AF29" s="177">
        <v>4.03</v>
      </c>
      <c r="AG29" s="190">
        <v>18213340</v>
      </c>
      <c r="AH29" s="133">
        <f t="shared" si="3"/>
        <v>6975709.2199999997</v>
      </c>
      <c r="AI29" s="133">
        <f t="shared" si="4"/>
        <v>3990105.6738399998</v>
      </c>
      <c r="AJ29" s="133">
        <f t="shared" si="5"/>
        <v>2525206.7376399999</v>
      </c>
      <c r="AK29" s="191">
        <f t="shared" si="6"/>
        <v>251376.65745191998</v>
      </c>
      <c r="AL29" s="184">
        <v>735442</v>
      </c>
      <c r="AM29" s="133">
        <f t="shared" si="7"/>
        <v>418466.49799999996</v>
      </c>
      <c r="AN29" s="133">
        <f t="shared" si="8"/>
        <v>223042.64343399997</v>
      </c>
      <c r="AO29" s="133">
        <f t="shared" si="9"/>
        <v>172408.19717599999</v>
      </c>
      <c r="AP29" s="196">
        <f t="shared" si="10"/>
        <v>5977.5428440311989</v>
      </c>
      <c r="AQ29" s="190">
        <v>503355</v>
      </c>
      <c r="AR29" s="133">
        <f t="shared" si="11"/>
        <v>116778.36</v>
      </c>
      <c r="AS29" s="133">
        <f t="shared" si="12"/>
        <v>73103.253360000002</v>
      </c>
      <c r="AT29" s="133">
        <f t="shared" si="13"/>
        <v>37602.63192</v>
      </c>
      <c r="AU29" s="191">
        <f t="shared" si="14"/>
        <v>5109.9174098640005</v>
      </c>
      <c r="AV29" s="184">
        <v>144360</v>
      </c>
      <c r="AW29" s="133">
        <f t="shared" si="16"/>
        <v>55145.52</v>
      </c>
      <c r="AX29" s="133">
        <f t="shared" si="17"/>
        <v>34410.804479999999</v>
      </c>
      <c r="AY29" s="133">
        <f t="shared" si="18"/>
        <v>18032.585039999998</v>
      </c>
      <c r="AZ29" s="141">
        <f t="shared" si="19"/>
        <v>1386.7554205439999</v>
      </c>
    </row>
    <row r="30" spans="1:52" x14ac:dyDescent="0.3">
      <c r="A30" s="114" t="s">
        <v>256</v>
      </c>
      <c r="B30" s="116" t="s">
        <v>249</v>
      </c>
      <c r="C30" s="116" t="s">
        <v>242</v>
      </c>
      <c r="D30" s="72" t="s">
        <v>91</v>
      </c>
      <c r="E30" s="181">
        <v>35.200000000000003</v>
      </c>
      <c r="F30" s="129">
        <v>57.1</v>
      </c>
      <c r="G30" s="129">
        <v>35.1</v>
      </c>
      <c r="H30" s="129">
        <f t="shared" si="0"/>
        <v>1.6267806267806268</v>
      </c>
      <c r="I30" s="129">
        <v>5.19</v>
      </c>
      <c r="J30" s="129">
        <v>12.8</v>
      </c>
      <c r="K30" s="175">
        <v>5.52</v>
      </c>
      <c r="L30" s="171">
        <v>43.5</v>
      </c>
      <c r="M30" s="129">
        <v>53.5</v>
      </c>
      <c r="N30" s="129">
        <v>39.200000000000003</v>
      </c>
      <c r="O30" s="129">
        <f t="shared" si="1"/>
        <v>1.3647959183673468</v>
      </c>
      <c r="P30" s="129">
        <v>10.7</v>
      </c>
      <c r="Q30" s="129">
        <v>12.5</v>
      </c>
      <c r="R30" s="177">
        <v>7.1</v>
      </c>
      <c r="S30" s="181">
        <v>1.38</v>
      </c>
      <c r="T30" s="129">
        <v>55.6</v>
      </c>
      <c r="U30" s="129">
        <v>22.2</v>
      </c>
      <c r="V30" s="129">
        <f t="shared" si="2"/>
        <v>2.5045045045045047</v>
      </c>
      <c r="W30" s="129">
        <v>9.2899999999999991</v>
      </c>
      <c r="X30" s="129">
        <v>10.199999999999999</v>
      </c>
      <c r="Y30" s="175">
        <v>7.39</v>
      </c>
      <c r="Z30" s="171">
        <v>36.1</v>
      </c>
      <c r="AA30" s="129">
        <v>58.2</v>
      </c>
      <c r="AB30" s="129">
        <v>37.299999999999997</v>
      </c>
      <c r="AC30" s="129">
        <f t="shared" si="15"/>
        <v>1.5603217158176945</v>
      </c>
      <c r="AD30" s="129">
        <v>9.24</v>
      </c>
      <c r="AE30" s="129">
        <v>3.11</v>
      </c>
      <c r="AF30" s="177">
        <v>1.22</v>
      </c>
      <c r="AG30" s="190">
        <v>17813920</v>
      </c>
      <c r="AH30" s="133">
        <f t="shared" si="3"/>
        <v>6270499.8399999999</v>
      </c>
      <c r="AI30" s="133">
        <f t="shared" si="4"/>
        <v>3580455.40864</v>
      </c>
      <c r="AJ30" s="133">
        <f t="shared" si="5"/>
        <v>2200945.4438399998</v>
      </c>
      <c r="AK30" s="191">
        <f t="shared" si="6"/>
        <v>197641.138556928</v>
      </c>
      <c r="AL30" s="184">
        <v>598283</v>
      </c>
      <c r="AM30" s="133">
        <f t="shared" si="7"/>
        <v>260253.10500000001</v>
      </c>
      <c r="AN30" s="133">
        <f t="shared" si="8"/>
        <v>139235.41117499999</v>
      </c>
      <c r="AO30" s="133">
        <f t="shared" si="9"/>
        <v>102019.21716000001</v>
      </c>
      <c r="AP30" s="196">
        <f t="shared" si="10"/>
        <v>9885.7141934249976</v>
      </c>
      <c r="AQ30" s="190">
        <v>142731</v>
      </c>
      <c r="AR30" s="133">
        <f t="shared" si="11"/>
        <v>1969.6877999999999</v>
      </c>
      <c r="AS30" s="133">
        <f t="shared" si="12"/>
        <v>1095.1464168</v>
      </c>
      <c r="AT30" s="133">
        <f t="shared" si="13"/>
        <v>437.27069159999996</v>
      </c>
      <c r="AU30" s="191">
        <f t="shared" si="14"/>
        <v>80.931320201519995</v>
      </c>
      <c r="AV30" s="184">
        <v>209567</v>
      </c>
      <c r="AW30" s="133">
        <f t="shared" si="16"/>
        <v>75653.687000000005</v>
      </c>
      <c r="AX30" s="133">
        <f t="shared" si="17"/>
        <v>44030.445834000006</v>
      </c>
      <c r="AY30" s="133">
        <f t="shared" si="18"/>
        <v>28218.825251000002</v>
      </c>
      <c r="AZ30" s="141">
        <f t="shared" si="19"/>
        <v>537.17143917480007</v>
      </c>
    </row>
    <row r="31" spans="1:52" x14ac:dyDescent="0.3">
      <c r="A31" s="114" t="s">
        <v>266</v>
      </c>
      <c r="B31" s="116" t="s">
        <v>249</v>
      </c>
      <c r="C31" s="116" t="s">
        <v>242</v>
      </c>
      <c r="D31" s="72" t="s">
        <v>334</v>
      </c>
      <c r="E31" s="181">
        <v>30.2</v>
      </c>
      <c r="F31" s="129">
        <v>58.2</v>
      </c>
      <c r="G31" s="129">
        <v>36.5</v>
      </c>
      <c r="H31" s="129">
        <f t="shared" si="0"/>
        <v>1.5945205479452056</v>
      </c>
      <c r="I31" s="129">
        <v>6.01</v>
      </c>
      <c r="J31" s="129">
        <v>10.8</v>
      </c>
      <c r="K31" s="175">
        <v>5.0199999999999996</v>
      </c>
      <c r="L31" s="171">
        <v>55.7</v>
      </c>
      <c r="M31" s="129">
        <v>52.8</v>
      </c>
      <c r="N31" s="129">
        <v>38.299999999999997</v>
      </c>
      <c r="O31" s="129">
        <f t="shared" si="1"/>
        <v>1.3785900783289817</v>
      </c>
      <c r="P31" s="129">
        <v>8.9499999999999993</v>
      </c>
      <c r="Q31" s="129">
        <v>17.7</v>
      </c>
      <c r="R31" s="177">
        <v>6.8</v>
      </c>
      <c r="S31" s="181">
        <v>54.4</v>
      </c>
      <c r="T31" s="129">
        <v>57.2</v>
      </c>
      <c r="U31" s="129">
        <v>38.4</v>
      </c>
      <c r="V31" s="129">
        <f t="shared" si="2"/>
        <v>1.4895833333333335</v>
      </c>
      <c r="W31" s="129">
        <v>8.58</v>
      </c>
      <c r="X31" s="129">
        <v>11.3</v>
      </c>
      <c r="Y31" s="175">
        <v>8.64</v>
      </c>
      <c r="Z31" s="171">
        <v>34.4</v>
      </c>
      <c r="AA31" s="129">
        <v>62.8</v>
      </c>
      <c r="AB31" s="129">
        <v>32.4</v>
      </c>
      <c r="AC31" s="129">
        <f t="shared" si="15"/>
        <v>1.9382716049382716</v>
      </c>
      <c r="AD31" s="129">
        <v>4.68</v>
      </c>
      <c r="AE31" s="129">
        <v>4.3899999999999997</v>
      </c>
      <c r="AF31" s="177">
        <v>1.87</v>
      </c>
      <c r="AG31" s="190">
        <v>23078113</v>
      </c>
      <c r="AH31" s="133">
        <f t="shared" si="3"/>
        <v>6969590.1260000002</v>
      </c>
      <c r="AI31" s="133">
        <f t="shared" si="4"/>
        <v>4056301.4533320004</v>
      </c>
      <c r="AJ31" s="133">
        <f t="shared" si="5"/>
        <v>2543900.3959900001</v>
      </c>
      <c r="AK31" s="191">
        <f t="shared" si="6"/>
        <v>203626.33295726642</v>
      </c>
      <c r="AL31" s="184">
        <v>292020</v>
      </c>
      <c r="AM31" s="133">
        <f t="shared" si="7"/>
        <v>162655.14000000001</v>
      </c>
      <c r="AN31" s="133">
        <f t="shared" si="8"/>
        <v>85881.913920000006</v>
      </c>
      <c r="AO31" s="133">
        <f t="shared" si="9"/>
        <v>62296.918619999997</v>
      </c>
      <c r="AP31" s="196">
        <f t="shared" si="10"/>
        <v>5839.970146560001</v>
      </c>
      <c r="AQ31" s="190">
        <v>116395</v>
      </c>
      <c r="AR31" s="133">
        <f t="shared" si="11"/>
        <v>63318.879999999997</v>
      </c>
      <c r="AS31" s="133">
        <f t="shared" si="12"/>
        <v>36218.399360000003</v>
      </c>
      <c r="AT31" s="133">
        <f t="shared" si="13"/>
        <v>24314.449919999995</v>
      </c>
      <c r="AU31" s="191">
        <f t="shared" si="14"/>
        <v>3129.2697047040006</v>
      </c>
      <c r="AV31" s="184">
        <v>197225</v>
      </c>
      <c r="AW31" s="133">
        <f t="shared" si="16"/>
        <v>67845.399999999994</v>
      </c>
      <c r="AX31" s="133">
        <f t="shared" si="17"/>
        <v>42606.911199999995</v>
      </c>
      <c r="AY31" s="133">
        <f t="shared" si="18"/>
        <v>21981.909599999995</v>
      </c>
      <c r="AZ31" s="141">
        <f t="shared" si="19"/>
        <v>796.74923944</v>
      </c>
    </row>
    <row r="32" spans="1:52" x14ac:dyDescent="0.3">
      <c r="A32" s="114" t="s">
        <v>257</v>
      </c>
      <c r="B32" s="116" t="s">
        <v>249</v>
      </c>
      <c r="C32" s="116" t="s">
        <v>242</v>
      </c>
      <c r="D32" s="72" t="s">
        <v>91</v>
      </c>
      <c r="E32" s="181">
        <v>34</v>
      </c>
      <c r="F32" s="129">
        <v>60</v>
      </c>
      <c r="G32" s="129">
        <v>30.6</v>
      </c>
      <c r="H32" s="129">
        <f t="shared" si="0"/>
        <v>1.9607843137254901</v>
      </c>
      <c r="I32" s="129">
        <v>5.15</v>
      </c>
      <c r="J32" s="129">
        <v>14</v>
      </c>
      <c r="K32" s="175">
        <v>5.47</v>
      </c>
      <c r="L32" s="171">
        <v>51</v>
      </c>
      <c r="M32" s="129">
        <v>46.6</v>
      </c>
      <c r="N32" s="129">
        <v>31.4</v>
      </c>
      <c r="O32" s="129">
        <f t="shared" si="1"/>
        <v>1.4840764331210192</v>
      </c>
      <c r="P32" s="129">
        <v>6.78</v>
      </c>
      <c r="Q32" s="129">
        <v>6.62</v>
      </c>
      <c r="R32" s="177">
        <v>4.1500000000000004</v>
      </c>
      <c r="S32" s="181">
        <v>54.7</v>
      </c>
      <c r="T32" s="129">
        <v>50.9</v>
      </c>
      <c r="U32" s="129">
        <v>47</v>
      </c>
      <c r="V32" s="129">
        <f t="shared" si="2"/>
        <v>1.0829787234042554</v>
      </c>
      <c r="W32" s="129">
        <v>10.3</v>
      </c>
      <c r="X32" s="129">
        <v>14.4</v>
      </c>
      <c r="Y32" s="175">
        <v>9.4600000000000009</v>
      </c>
      <c r="Z32" s="171">
        <v>34.700000000000003</v>
      </c>
      <c r="AA32" s="129">
        <v>44.8</v>
      </c>
      <c r="AB32" s="129">
        <v>25.2</v>
      </c>
      <c r="AC32" s="129">
        <f t="shared" si="15"/>
        <v>1.7777777777777777</v>
      </c>
      <c r="AD32" s="129">
        <v>5.45</v>
      </c>
      <c r="AE32" s="129">
        <v>7.55</v>
      </c>
      <c r="AF32" s="177">
        <v>2.6</v>
      </c>
      <c r="AG32" s="190">
        <v>18905137</v>
      </c>
      <c r="AH32" s="133">
        <f t="shared" si="3"/>
        <v>6427746.5800000001</v>
      </c>
      <c r="AI32" s="133">
        <f t="shared" si="4"/>
        <v>3856647.9480000003</v>
      </c>
      <c r="AJ32" s="133">
        <f t="shared" si="5"/>
        <v>1966890.4534800001</v>
      </c>
      <c r="AK32" s="191">
        <f t="shared" si="6"/>
        <v>210958.64275559998</v>
      </c>
      <c r="AL32" s="184">
        <v>705674</v>
      </c>
      <c r="AM32" s="133">
        <f t="shared" si="7"/>
        <v>359893.74</v>
      </c>
      <c r="AN32" s="133">
        <f t="shared" si="8"/>
        <v>167710.48284000001</v>
      </c>
      <c r="AO32" s="133">
        <f t="shared" si="9"/>
        <v>113006.63435999998</v>
      </c>
      <c r="AP32" s="196">
        <f t="shared" si="10"/>
        <v>6959.9850378600004</v>
      </c>
      <c r="AQ32" s="190">
        <v>790993</v>
      </c>
      <c r="AR32" s="133">
        <f t="shared" si="11"/>
        <v>432673.17100000003</v>
      </c>
      <c r="AS32" s="133">
        <f t="shared" si="12"/>
        <v>220230.64403900001</v>
      </c>
      <c r="AT32" s="133">
        <f t="shared" si="13"/>
        <v>203356.39037000001</v>
      </c>
      <c r="AU32" s="191">
        <f t="shared" si="14"/>
        <v>20833.8189260894</v>
      </c>
      <c r="AV32" s="184">
        <v>216810</v>
      </c>
      <c r="AW32" s="133">
        <f t="shared" si="16"/>
        <v>75233.070000000007</v>
      </c>
      <c r="AX32" s="133">
        <f t="shared" si="17"/>
        <v>33704.415360000006</v>
      </c>
      <c r="AY32" s="133">
        <f t="shared" si="18"/>
        <v>18958.733640000002</v>
      </c>
      <c r="AZ32" s="141">
        <f t="shared" si="19"/>
        <v>876.31479936000017</v>
      </c>
    </row>
    <row r="33" spans="1:52" x14ac:dyDescent="0.3">
      <c r="A33" s="114" t="s">
        <v>258</v>
      </c>
      <c r="B33" s="116" t="s">
        <v>249</v>
      </c>
      <c r="C33" s="116" t="s">
        <v>242</v>
      </c>
      <c r="D33" s="72" t="s">
        <v>91</v>
      </c>
      <c r="E33" s="181">
        <v>32.299999999999997</v>
      </c>
      <c r="F33" s="129">
        <v>57.2</v>
      </c>
      <c r="G33" s="129">
        <v>35.6</v>
      </c>
      <c r="H33" s="129">
        <f t="shared" si="0"/>
        <v>1.6067415730337078</v>
      </c>
      <c r="I33" s="129">
        <v>4.51</v>
      </c>
      <c r="J33" s="129">
        <v>14</v>
      </c>
      <c r="K33" s="175">
        <v>4.8</v>
      </c>
      <c r="L33" s="171">
        <v>42.4</v>
      </c>
      <c r="M33" s="129">
        <v>55</v>
      </c>
      <c r="N33" s="129">
        <v>41.4</v>
      </c>
      <c r="O33" s="129">
        <f t="shared" si="1"/>
        <v>1.3285024154589373</v>
      </c>
      <c r="P33" s="129">
        <v>11.4</v>
      </c>
      <c r="Q33" s="129">
        <v>13.4</v>
      </c>
      <c r="R33" s="177">
        <v>9.31</v>
      </c>
      <c r="S33" s="181">
        <v>47.3</v>
      </c>
      <c r="T33" s="129">
        <v>53.6</v>
      </c>
      <c r="U33" s="129">
        <v>44.5</v>
      </c>
      <c r="V33" s="129">
        <f t="shared" si="2"/>
        <v>1.2044943820224718</v>
      </c>
      <c r="W33" s="129">
        <v>9.81</v>
      </c>
      <c r="X33" s="129">
        <v>14.1</v>
      </c>
      <c r="Y33" s="175">
        <v>9.73</v>
      </c>
      <c r="Z33" s="171">
        <v>36.9</v>
      </c>
      <c r="AA33" s="129">
        <v>64.5</v>
      </c>
      <c r="AB33" s="129">
        <v>11.3</v>
      </c>
      <c r="AC33" s="129">
        <f t="shared" si="15"/>
        <v>5.7079646017699108</v>
      </c>
      <c r="AD33" s="129">
        <v>5.24</v>
      </c>
      <c r="AE33" s="129">
        <v>2.71</v>
      </c>
      <c r="AF33" s="177">
        <v>0.84</v>
      </c>
      <c r="AG33" s="190">
        <v>20128667</v>
      </c>
      <c r="AH33" s="133">
        <f t="shared" si="3"/>
        <v>6501559.4409999987</v>
      </c>
      <c r="AI33" s="133">
        <f t="shared" si="4"/>
        <v>3718892.0002519996</v>
      </c>
      <c r="AJ33" s="133">
        <f t="shared" si="5"/>
        <v>2314555.1609959994</v>
      </c>
      <c r="AK33" s="191">
        <f t="shared" si="6"/>
        <v>178506.81601209595</v>
      </c>
      <c r="AL33" s="184">
        <v>1031973</v>
      </c>
      <c r="AM33" s="133">
        <f t="shared" si="7"/>
        <v>437556.55199999997</v>
      </c>
      <c r="AN33" s="133">
        <f t="shared" si="8"/>
        <v>240656.1036</v>
      </c>
      <c r="AO33" s="133">
        <f t="shared" si="9"/>
        <v>181148.41252799999</v>
      </c>
      <c r="AP33" s="196">
        <f t="shared" si="10"/>
        <v>22405.083245160004</v>
      </c>
      <c r="AQ33" s="190">
        <v>327154</v>
      </c>
      <c r="AR33" s="133">
        <f t="shared" si="11"/>
        <v>154743.842</v>
      </c>
      <c r="AS33" s="133">
        <f t="shared" si="12"/>
        <v>82942.699312000012</v>
      </c>
      <c r="AT33" s="133">
        <f t="shared" si="13"/>
        <v>68861.009690000006</v>
      </c>
      <c r="AU33" s="191">
        <f t="shared" si="14"/>
        <v>8070.324643057601</v>
      </c>
      <c r="AV33" s="184">
        <v>195223</v>
      </c>
      <c r="AW33" s="133">
        <f t="shared" si="16"/>
        <v>72037.286999999997</v>
      </c>
      <c r="AX33" s="133">
        <f t="shared" si="17"/>
        <v>46464.050114999998</v>
      </c>
      <c r="AY33" s="133">
        <f t="shared" si="18"/>
        <v>8140.2134310000001</v>
      </c>
      <c r="AZ33" s="141">
        <f t="shared" si="19"/>
        <v>390.29802096599997</v>
      </c>
    </row>
    <row r="34" spans="1:52" x14ac:dyDescent="0.3">
      <c r="A34" s="114" t="s">
        <v>267</v>
      </c>
      <c r="B34" s="116" t="s">
        <v>249</v>
      </c>
      <c r="C34" s="116" t="s">
        <v>242</v>
      </c>
      <c r="D34" s="72" t="s">
        <v>334</v>
      </c>
      <c r="E34" s="181">
        <v>30.2</v>
      </c>
      <c r="F34" s="129">
        <v>57.8</v>
      </c>
      <c r="G34" s="129">
        <v>34.5</v>
      </c>
      <c r="H34" s="129">
        <f t="shared" si="0"/>
        <v>1.6753623188405797</v>
      </c>
      <c r="I34" s="129">
        <v>7.36</v>
      </c>
      <c r="J34" s="129">
        <v>12.6</v>
      </c>
      <c r="K34" s="175">
        <v>6.1</v>
      </c>
      <c r="L34" s="171">
        <v>51.6</v>
      </c>
      <c r="M34" s="129">
        <v>55.4</v>
      </c>
      <c r="N34" s="129">
        <v>36.9</v>
      </c>
      <c r="O34" s="129">
        <f t="shared" si="1"/>
        <v>1.5013550135501355</v>
      </c>
      <c r="P34" s="129">
        <v>9.2200000000000006</v>
      </c>
      <c r="Q34" s="129">
        <v>9.6199999999999992</v>
      </c>
      <c r="R34" s="177">
        <v>6.47</v>
      </c>
      <c r="S34" s="181">
        <v>55.4</v>
      </c>
      <c r="T34" s="129">
        <v>56.9</v>
      </c>
      <c r="U34" s="129">
        <v>39</v>
      </c>
      <c r="V34" s="129">
        <f t="shared" si="2"/>
        <v>1.4589743589743589</v>
      </c>
      <c r="W34" s="129">
        <v>7.44</v>
      </c>
      <c r="X34" s="129">
        <v>9.6999999999999993</v>
      </c>
      <c r="Y34" s="175">
        <v>6.34</v>
      </c>
      <c r="Z34" s="171">
        <v>40.5</v>
      </c>
      <c r="AA34" s="129">
        <v>55.6</v>
      </c>
      <c r="AB34" s="129">
        <v>20.6</v>
      </c>
      <c r="AC34" s="129">
        <f t="shared" si="15"/>
        <v>2.6990291262135919</v>
      </c>
      <c r="AD34" s="129">
        <v>3.08</v>
      </c>
      <c r="AE34" s="129">
        <v>5.49</v>
      </c>
      <c r="AF34" s="177">
        <v>2.33</v>
      </c>
      <c r="AG34" s="190">
        <v>32320099</v>
      </c>
      <c r="AH34" s="133">
        <f t="shared" si="3"/>
        <v>9760669.898</v>
      </c>
      <c r="AI34" s="133">
        <f t="shared" si="4"/>
        <v>5641667.2010439988</v>
      </c>
      <c r="AJ34" s="133">
        <f t="shared" si="5"/>
        <v>3367431.1148100002</v>
      </c>
      <c r="AK34" s="191">
        <f t="shared" si="6"/>
        <v>344141.69926368393</v>
      </c>
      <c r="AL34" s="184">
        <v>666945</v>
      </c>
      <c r="AM34" s="133">
        <f t="shared" si="7"/>
        <v>344143.62</v>
      </c>
      <c r="AN34" s="133">
        <f t="shared" si="8"/>
        <v>190655.56547999999</v>
      </c>
      <c r="AO34" s="133">
        <f t="shared" si="9"/>
        <v>126988.99578</v>
      </c>
      <c r="AP34" s="196">
        <f t="shared" si="10"/>
        <v>12335.415086555999</v>
      </c>
      <c r="AQ34" s="190">
        <v>752444</v>
      </c>
      <c r="AR34" s="133">
        <f t="shared" si="11"/>
        <v>416853.97600000002</v>
      </c>
      <c r="AS34" s="133">
        <f t="shared" si="12"/>
        <v>237189.91234400001</v>
      </c>
      <c r="AT34" s="133">
        <f t="shared" si="13"/>
        <v>162573.05064</v>
      </c>
      <c r="AU34" s="191">
        <f t="shared" si="14"/>
        <v>15037.8404426096</v>
      </c>
      <c r="AV34" s="184">
        <v>189132</v>
      </c>
      <c r="AW34" s="133">
        <f t="shared" si="16"/>
        <v>76598.460000000006</v>
      </c>
      <c r="AX34" s="133">
        <f t="shared" si="17"/>
        <v>42588.743760000005</v>
      </c>
      <c r="AY34" s="133">
        <f t="shared" si="18"/>
        <v>15779.282760000004</v>
      </c>
      <c r="AZ34" s="141">
        <f t="shared" si="19"/>
        <v>992.31772960800004</v>
      </c>
    </row>
    <row r="35" spans="1:52" x14ac:dyDescent="0.3">
      <c r="A35" s="114" t="s">
        <v>268</v>
      </c>
      <c r="B35" s="116" t="s">
        <v>249</v>
      </c>
      <c r="C35" s="116" t="s">
        <v>242</v>
      </c>
      <c r="D35" s="72" t="s">
        <v>334</v>
      </c>
      <c r="E35" s="181">
        <v>32.799999999999997</v>
      </c>
      <c r="F35" s="129">
        <v>58.1</v>
      </c>
      <c r="G35" s="129">
        <v>35.799999999999997</v>
      </c>
      <c r="H35" s="129">
        <f t="shared" si="0"/>
        <v>1.6229050279329611</v>
      </c>
      <c r="I35" s="129">
        <v>6.79</v>
      </c>
      <c r="J35" s="129">
        <v>12.4</v>
      </c>
      <c r="K35" s="175">
        <v>6.44</v>
      </c>
      <c r="L35" s="171">
        <v>54.5</v>
      </c>
      <c r="M35" s="129">
        <v>55.7</v>
      </c>
      <c r="N35" s="129">
        <v>38.5</v>
      </c>
      <c r="O35" s="129">
        <f t="shared" si="1"/>
        <v>1.4467532467532469</v>
      </c>
      <c r="P35" s="129">
        <v>11.2</v>
      </c>
      <c r="Q35" s="129">
        <v>12</v>
      </c>
      <c r="R35" s="177">
        <v>8.27</v>
      </c>
      <c r="S35" s="181">
        <v>58.2</v>
      </c>
      <c r="T35" s="129">
        <v>54.7</v>
      </c>
      <c r="U35" s="129">
        <v>43.3</v>
      </c>
      <c r="V35" s="129">
        <f t="shared" si="2"/>
        <v>1.2632794457274827</v>
      </c>
      <c r="W35" s="129">
        <v>10</v>
      </c>
      <c r="X35" s="129">
        <v>13.8</v>
      </c>
      <c r="Y35" s="175">
        <v>9.61</v>
      </c>
      <c r="Z35" s="171">
        <v>36</v>
      </c>
      <c r="AA35" s="129">
        <v>53.1</v>
      </c>
      <c r="AB35" s="129">
        <v>37.299999999999997</v>
      </c>
      <c r="AC35" s="129">
        <f t="shared" si="15"/>
        <v>1.4235924932975872</v>
      </c>
      <c r="AD35" s="129">
        <v>8.2799999999999994</v>
      </c>
      <c r="AE35" s="129">
        <v>7.13</v>
      </c>
      <c r="AF35" s="177">
        <v>3.42</v>
      </c>
      <c r="AG35" s="192"/>
      <c r="AH35" s="134"/>
      <c r="AI35" s="134"/>
      <c r="AJ35" s="134"/>
      <c r="AK35" s="193"/>
      <c r="AL35" s="185"/>
      <c r="AM35" s="134"/>
      <c r="AN35" s="134"/>
      <c r="AO35" s="134"/>
      <c r="AP35" s="197"/>
      <c r="AQ35" s="192"/>
      <c r="AR35" s="134"/>
      <c r="AS35" s="134"/>
      <c r="AT35" s="134"/>
      <c r="AU35" s="193"/>
      <c r="AV35" s="185"/>
      <c r="AW35" s="134"/>
      <c r="AX35" s="134"/>
      <c r="AY35" s="134"/>
      <c r="AZ35" s="140"/>
    </row>
    <row r="36" spans="1:52" x14ac:dyDescent="0.3">
      <c r="A36" s="114" t="s">
        <v>265</v>
      </c>
      <c r="B36" s="116" t="s">
        <v>249</v>
      </c>
      <c r="C36" s="116" t="s">
        <v>242</v>
      </c>
      <c r="D36" s="72" t="s">
        <v>91</v>
      </c>
      <c r="E36" s="181">
        <v>35.1</v>
      </c>
      <c r="F36" s="129">
        <v>59.2</v>
      </c>
      <c r="G36" s="129">
        <v>35.700000000000003</v>
      </c>
      <c r="H36" s="129">
        <f t="shared" ref="H36:H67" si="20">F36/G36</f>
        <v>1.6582633053221287</v>
      </c>
      <c r="I36" s="129">
        <v>6.44</v>
      </c>
      <c r="J36" s="129">
        <v>11.9</v>
      </c>
      <c r="K36" s="175">
        <v>5.14</v>
      </c>
      <c r="L36" s="171">
        <v>51.1</v>
      </c>
      <c r="M36" s="129">
        <v>50.9</v>
      </c>
      <c r="N36" s="129">
        <v>40.9</v>
      </c>
      <c r="O36" s="129">
        <f t="shared" ref="O36:O67" si="21">M36/N36</f>
        <v>1.2444987775061125</v>
      </c>
      <c r="P36" s="129">
        <v>11.8</v>
      </c>
      <c r="Q36" s="129">
        <v>10.4</v>
      </c>
      <c r="R36" s="177">
        <v>6.41</v>
      </c>
      <c r="S36" s="181">
        <v>57.8</v>
      </c>
      <c r="T36" s="129">
        <v>51.3</v>
      </c>
      <c r="U36" s="129">
        <v>43.3</v>
      </c>
      <c r="V36" s="129">
        <f t="shared" ref="V36:V67" si="22">T36/U36</f>
        <v>1.1847575057736721</v>
      </c>
      <c r="W36" s="129">
        <v>8.0299999999999994</v>
      </c>
      <c r="X36" s="129">
        <v>11.4</v>
      </c>
      <c r="Y36" s="175">
        <v>6.99</v>
      </c>
      <c r="Z36" s="171">
        <v>48.2</v>
      </c>
      <c r="AA36" s="129">
        <v>60.5</v>
      </c>
      <c r="AB36" s="129">
        <v>34.6</v>
      </c>
      <c r="AC36" s="129">
        <f t="shared" si="15"/>
        <v>1.7485549132947975</v>
      </c>
      <c r="AD36" s="129">
        <v>5.85</v>
      </c>
      <c r="AE36" s="129">
        <v>8.1</v>
      </c>
      <c r="AF36" s="177">
        <v>4.7699999999999996</v>
      </c>
      <c r="AG36" s="190">
        <v>13511011</v>
      </c>
      <c r="AH36" s="133">
        <f t="shared" ref="AH36:AH67" si="23">AG36*E36/100</f>
        <v>4742364.8610000005</v>
      </c>
      <c r="AI36" s="133">
        <f t="shared" ref="AI36:AI67" si="24">AH36*F36/100</f>
        <v>2807479.9977120007</v>
      </c>
      <c r="AJ36" s="133">
        <f t="shared" ref="AJ36:AJ67" si="25">AH36*G36/100</f>
        <v>1693024.2553770002</v>
      </c>
      <c r="AK36" s="191">
        <f t="shared" ref="AK36:AK67" si="26">AI36*K36/100</f>
        <v>144304.47188239681</v>
      </c>
      <c r="AL36" s="184">
        <v>749681</v>
      </c>
      <c r="AM36" s="133">
        <f t="shared" ref="AM36:AM67" si="27">AL36*L36/100</f>
        <v>383086.99100000004</v>
      </c>
      <c r="AN36" s="133">
        <f t="shared" ref="AN36:AN67" si="28">AM36*M36/100</f>
        <v>194991.27841900001</v>
      </c>
      <c r="AO36" s="133">
        <f t="shared" ref="AO36:AO67" si="29">AM36*N36/100</f>
        <v>156682.57931900001</v>
      </c>
      <c r="AP36" s="196">
        <f t="shared" ref="AP36:AP67" si="30">AN36*R36/100</f>
        <v>12498.9409466579</v>
      </c>
      <c r="AQ36" s="190">
        <v>123790</v>
      </c>
      <c r="AR36" s="133">
        <f t="shared" ref="AR36:AR67" si="31">AQ36*S36/100</f>
        <v>71550.62</v>
      </c>
      <c r="AS36" s="133">
        <f t="shared" ref="AS36:AS67" si="32">AR36*T36/100</f>
        <v>36705.468059999992</v>
      </c>
      <c r="AT36" s="133">
        <f t="shared" ref="AT36:AT67" si="33">AR36*U36/100</f>
        <v>30981.418459999994</v>
      </c>
      <c r="AU36" s="191">
        <f t="shared" ref="AU36:AU67" si="34">AS36*Y36/100</f>
        <v>2565.7122173939993</v>
      </c>
      <c r="AV36" s="184">
        <v>106875</v>
      </c>
      <c r="AW36" s="133">
        <f t="shared" ref="AW36:AW67" si="35">AV36*Z36/100</f>
        <v>51513.75</v>
      </c>
      <c r="AX36" s="133">
        <f t="shared" ref="AX36:AX67" si="36">AW36*AA36/100</f>
        <v>31165.818749999999</v>
      </c>
      <c r="AY36" s="133">
        <f t="shared" ref="AY36:AY67" si="37">AW36*AB36/100</f>
        <v>17823.7575</v>
      </c>
      <c r="AZ36" s="141">
        <f t="shared" ref="AZ36:AZ67" si="38">AX36*AF36/100</f>
        <v>1486.6095543749998</v>
      </c>
    </row>
    <row r="37" spans="1:52" x14ac:dyDescent="0.3">
      <c r="A37" s="114" t="s">
        <v>275</v>
      </c>
      <c r="B37" s="116" t="s">
        <v>249</v>
      </c>
      <c r="C37" s="116" t="s">
        <v>242</v>
      </c>
      <c r="D37" s="72" t="s">
        <v>334</v>
      </c>
      <c r="E37" s="181">
        <v>31.3</v>
      </c>
      <c r="F37" s="129">
        <v>56</v>
      </c>
      <c r="G37" s="129">
        <v>38.6</v>
      </c>
      <c r="H37" s="129">
        <f t="shared" si="20"/>
        <v>1.4507772020725389</v>
      </c>
      <c r="I37" s="129">
        <v>6.15</v>
      </c>
      <c r="J37" s="129">
        <v>10.9</v>
      </c>
      <c r="K37" s="175">
        <v>6.24</v>
      </c>
      <c r="L37" s="171">
        <v>52.3</v>
      </c>
      <c r="M37" s="129">
        <v>54.2</v>
      </c>
      <c r="N37" s="129">
        <v>34.299999999999997</v>
      </c>
      <c r="O37" s="129">
        <f t="shared" si="21"/>
        <v>1.5801749271137029</v>
      </c>
      <c r="P37" s="129">
        <v>10.7</v>
      </c>
      <c r="Q37" s="129">
        <v>7.63</v>
      </c>
      <c r="R37" s="177">
        <v>4.95</v>
      </c>
      <c r="S37" s="181">
        <v>71.3</v>
      </c>
      <c r="T37" s="129">
        <v>54.8</v>
      </c>
      <c r="U37" s="129">
        <v>43.3</v>
      </c>
      <c r="V37" s="129">
        <f t="shared" si="22"/>
        <v>1.2655889145496535</v>
      </c>
      <c r="W37" s="129">
        <v>7.28</v>
      </c>
      <c r="X37" s="129">
        <v>9.08</v>
      </c>
      <c r="Y37" s="175">
        <v>6.44</v>
      </c>
      <c r="Z37" s="171">
        <v>29.5</v>
      </c>
      <c r="AA37" s="129">
        <v>59.2</v>
      </c>
      <c r="AB37" s="129">
        <v>34.200000000000003</v>
      </c>
      <c r="AC37" s="129">
        <f t="shared" ref="AC37:AC67" si="39">AA37/AB37</f>
        <v>1.7309941520467835</v>
      </c>
      <c r="AD37" s="129">
        <v>4.4800000000000004</v>
      </c>
      <c r="AE37" s="129">
        <v>7.49</v>
      </c>
      <c r="AF37" s="177">
        <v>4.1500000000000004</v>
      </c>
      <c r="AG37" s="190">
        <v>24905042</v>
      </c>
      <c r="AH37" s="133">
        <f t="shared" si="23"/>
        <v>7795278.1460000006</v>
      </c>
      <c r="AI37" s="133">
        <f t="shared" si="24"/>
        <v>4365355.7617600001</v>
      </c>
      <c r="AJ37" s="133">
        <f t="shared" si="25"/>
        <v>3008977.3643560004</v>
      </c>
      <c r="AK37" s="191">
        <f t="shared" si="26"/>
        <v>272398.19953382405</v>
      </c>
      <c r="AL37" s="184">
        <v>822222</v>
      </c>
      <c r="AM37" s="133">
        <f t="shared" si="27"/>
        <v>430022.10599999991</v>
      </c>
      <c r="AN37" s="133">
        <f t="shared" si="28"/>
        <v>233071.98145199995</v>
      </c>
      <c r="AO37" s="133">
        <f t="shared" si="29"/>
        <v>147497.58235799996</v>
      </c>
      <c r="AP37" s="196">
        <f t="shared" si="30"/>
        <v>11537.063081873997</v>
      </c>
      <c r="AQ37" s="190">
        <v>531556</v>
      </c>
      <c r="AR37" s="133">
        <f t="shared" si="31"/>
        <v>378999.42799999996</v>
      </c>
      <c r="AS37" s="133">
        <f t="shared" si="32"/>
        <v>207691.68654399994</v>
      </c>
      <c r="AT37" s="133">
        <f t="shared" si="33"/>
        <v>164106.75232399997</v>
      </c>
      <c r="AU37" s="191">
        <f t="shared" si="34"/>
        <v>13375.344613433597</v>
      </c>
      <c r="AV37" s="184">
        <v>251375</v>
      </c>
      <c r="AW37" s="133">
        <f t="shared" si="35"/>
        <v>74155.625</v>
      </c>
      <c r="AX37" s="133">
        <f t="shared" si="36"/>
        <v>43900.13</v>
      </c>
      <c r="AY37" s="133">
        <f t="shared" si="37"/>
        <v>25361.223750000001</v>
      </c>
      <c r="AZ37" s="141">
        <f t="shared" si="38"/>
        <v>1821.855395</v>
      </c>
    </row>
    <row r="38" spans="1:52" x14ac:dyDescent="0.3">
      <c r="A38" s="114" t="s">
        <v>279</v>
      </c>
      <c r="B38" s="116" t="s">
        <v>249</v>
      </c>
      <c r="C38" s="116" t="s">
        <v>242</v>
      </c>
      <c r="D38" s="72" t="s">
        <v>250</v>
      </c>
      <c r="E38" s="181">
        <v>18.8</v>
      </c>
      <c r="F38" s="129">
        <v>60.3</v>
      </c>
      <c r="G38" s="129">
        <v>19.7</v>
      </c>
      <c r="H38" s="129">
        <f t="shared" si="20"/>
        <v>3.0609137055837565</v>
      </c>
      <c r="I38" s="129">
        <v>6.83</v>
      </c>
      <c r="J38" s="129">
        <v>10.9</v>
      </c>
      <c r="K38" s="175">
        <v>4.49</v>
      </c>
      <c r="L38" s="171">
        <v>41.1</v>
      </c>
      <c r="M38" s="129">
        <v>52.3</v>
      </c>
      <c r="N38" s="129">
        <v>42.8</v>
      </c>
      <c r="O38" s="129">
        <f t="shared" si="21"/>
        <v>1.22196261682243</v>
      </c>
      <c r="P38" s="129">
        <v>13.3</v>
      </c>
      <c r="Q38" s="129">
        <v>6.47</v>
      </c>
      <c r="R38" s="177">
        <v>3.59</v>
      </c>
      <c r="S38" s="181">
        <v>34.4</v>
      </c>
      <c r="T38" s="129">
        <v>49.5</v>
      </c>
      <c r="U38" s="129">
        <v>45.2</v>
      </c>
      <c r="V38" s="129">
        <f t="shared" si="22"/>
        <v>1.0951327433628317</v>
      </c>
      <c r="W38" s="129">
        <v>13</v>
      </c>
      <c r="X38" s="129">
        <v>18.3</v>
      </c>
      <c r="Y38" s="175">
        <v>10.7</v>
      </c>
      <c r="Z38" s="171">
        <v>26.2</v>
      </c>
      <c r="AA38" s="129">
        <v>58</v>
      </c>
      <c r="AB38" s="129">
        <v>33.200000000000003</v>
      </c>
      <c r="AC38" s="129">
        <f t="shared" si="39"/>
        <v>1.7469879518072287</v>
      </c>
      <c r="AD38" s="129">
        <v>6.14</v>
      </c>
      <c r="AE38" s="129">
        <v>10.5</v>
      </c>
      <c r="AF38" s="177">
        <v>5.16</v>
      </c>
      <c r="AG38" s="190">
        <v>15419162</v>
      </c>
      <c r="AH38" s="133">
        <f t="shared" si="23"/>
        <v>2898802.4560000002</v>
      </c>
      <c r="AI38" s="133">
        <f t="shared" si="24"/>
        <v>1747977.880968</v>
      </c>
      <c r="AJ38" s="133">
        <f t="shared" si="25"/>
        <v>571064.08383200003</v>
      </c>
      <c r="AK38" s="191">
        <f t="shared" si="26"/>
        <v>78484.206855463213</v>
      </c>
      <c r="AL38" s="184">
        <v>593426</v>
      </c>
      <c r="AM38" s="133">
        <f t="shared" si="27"/>
        <v>243898.08600000001</v>
      </c>
      <c r="AN38" s="133">
        <f t="shared" si="28"/>
        <v>127558.698978</v>
      </c>
      <c r="AO38" s="133">
        <f t="shared" si="29"/>
        <v>104388.380808</v>
      </c>
      <c r="AP38" s="196">
        <f t="shared" si="30"/>
        <v>4579.3572933101996</v>
      </c>
      <c r="AQ38" s="190">
        <v>1054117</v>
      </c>
      <c r="AR38" s="133">
        <f t="shared" si="31"/>
        <v>362616.24799999996</v>
      </c>
      <c r="AS38" s="133">
        <f t="shared" si="32"/>
        <v>179495.04275999998</v>
      </c>
      <c r="AT38" s="133">
        <f t="shared" si="33"/>
        <v>163902.544096</v>
      </c>
      <c r="AU38" s="191">
        <f t="shared" si="34"/>
        <v>19205.969575319999</v>
      </c>
      <c r="AV38" s="184">
        <v>285918</v>
      </c>
      <c r="AW38" s="133">
        <f t="shared" si="35"/>
        <v>74910.516000000003</v>
      </c>
      <c r="AX38" s="133">
        <f t="shared" si="36"/>
        <v>43448.099280000002</v>
      </c>
      <c r="AY38" s="133">
        <f t="shared" si="37"/>
        <v>24870.291312000001</v>
      </c>
      <c r="AZ38" s="141">
        <f t="shared" si="38"/>
        <v>2241.9219228480001</v>
      </c>
    </row>
    <row r="39" spans="1:52" x14ac:dyDescent="0.3">
      <c r="A39" s="114" t="s">
        <v>280</v>
      </c>
      <c r="B39" s="116" t="s">
        <v>249</v>
      </c>
      <c r="C39" s="116" t="s">
        <v>242</v>
      </c>
      <c r="D39" s="72" t="s">
        <v>250</v>
      </c>
      <c r="E39" s="181">
        <v>22.4</v>
      </c>
      <c r="F39" s="129">
        <v>52.2</v>
      </c>
      <c r="G39" s="129">
        <v>29.3</v>
      </c>
      <c r="H39" s="129">
        <f t="shared" si="20"/>
        <v>1.7815699658703072</v>
      </c>
      <c r="I39" s="129">
        <v>9.16</v>
      </c>
      <c r="J39" s="129">
        <v>10.7</v>
      </c>
      <c r="K39" s="175">
        <v>5.63</v>
      </c>
      <c r="L39" s="171">
        <v>48.2</v>
      </c>
      <c r="M39" s="129">
        <v>56.8</v>
      </c>
      <c r="N39" s="129">
        <v>37.6</v>
      </c>
      <c r="O39" s="129">
        <f t="shared" si="21"/>
        <v>1.5106382978723403</v>
      </c>
      <c r="P39" s="129">
        <v>13.2</v>
      </c>
      <c r="Q39" s="129">
        <v>7.56</v>
      </c>
      <c r="R39" s="177">
        <v>5.51</v>
      </c>
      <c r="S39" s="181">
        <v>38.9</v>
      </c>
      <c r="T39" s="129">
        <v>50.3</v>
      </c>
      <c r="U39" s="129">
        <v>45.1</v>
      </c>
      <c r="V39" s="129">
        <f t="shared" si="22"/>
        <v>1.1152993348115299</v>
      </c>
      <c r="W39" s="129">
        <v>13.6</v>
      </c>
      <c r="X39" s="129">
        <v>16.8</v>
      </c>
      <c r="Y39" s="175">
        <v>11.5</v>
      </c>
      <c r="Z39" s="171">
        <v>23.4</v>
      </c>
      <c r="AA39" s="129">
        <v>54.9</v>
      </c>
      <c r="AB39" s="129">
        <v>36.700000000000003</v>
      </c>
      <c r="AC39" s="129">
        <f t="shared" si="39"/>
        <v>1.4959128065395093</v>
      </c>
      <c r="AD39" s="129">
        <v>5.44</v>
      </c>
      <c r="AE39" s="129">
        <v>7.32</v>
      </c>
      <c r="AF39" s="177">
        <v>3.19</v>
      </c>
      <c r="AG39" s="190">
        <v>28710377</v>
      </c>
      <c r="AH39" s="133">
        <f t="shared" si="23"/>
        <v>6431124.4479999999</v>
      </c>
      <c r="AI39" s="133">
        <f t="shared" si="24"/>
        <v>3357046.9618559997</v>
      </c>
      <c r="AJ39" s="133">
        <f t="shared" si="25"/>
        <v>1884319.4632640001</v>
      </c>
      <c r="AK39" s="191">
        <f t="shared" si="26"/>
        <v>189001.74395249278</v>
      </c>
      <c r="AL39" s="184">
        <v>1192816</v>
      </c>
      <c r="AM39" s="133">
        <f t="shared" si="27"/>
        <v>574937.31200000003</v>
      </c>
      <c r="AN39" s="133">
        <f t="shared" si="28"/>
        <v>326564.393216</v>
      </c>
      <c r="AO39" s="133">
        <f t="shared" si="29"/>
        <v>216176.42931200002</v>
      </c>
      <c r="AP39" s="196">
        <f t="shared" si="30"/>
        <v>17993.698066201599</v>
      </c>
      <c r="AQ39" s="190">
        <v>959478</v>
      </c>
      <c r="AR39" s="133">
        <f t="shared" si="31"/>
        <v>373236.94199999998</v>
      </c>
      <c r="AS39" s="133">
        <f t="shared" si="32"/>
        <v>187738.18182599999</v>
      </c>
      <c r="AT39" s="133">
        <f t="shared" si="33"/>
        <v>168329.86084199999</v>
      </c>
      <c r="AU39" s="191">
        <f t="shared" si="34"/>
        <v>21589.890909989997</v>
      </c>
      <c r="AV39" s="184">
        <v>181148</v>
      </c>
      <c r="AW39" s="133">
        <f t="shared" si="35"/>
        <v>42388.632000000005</v>
      </c>
      <c r="AX39" s="133">
        <f t="shared" si="36"/>
        <v>23271.358968</v>
      </c>
      <c r="AY39" s="133">
        <f t="shared" si="37"/>
        <v>15556.627944000002</v>
      </c>
      <c r="AZ39" s="141">
        <f t="shared" si="38"/>
        <v>742.35635107919995</v>
      </c>
    </row>
    <row r="40" spans="1:52" x14ac:dyDescent="0.3">
      <c r="A40" s="114" t="s">
        <v>326</v>
      </c>
      <c r="B40" s="116" t="s">
        <v>251</v>
      </c>
      <c r="C40" s="116" t="s">
        <v>242</v>
      </c>
      <c r="D40" s="72" t="s">
        <v>91</v>
      </c>
      <c r="E40" s="181">
        <v>26.5</v>
      </c>
      <c r="F40" s="129">
        <v>52.4</v>
      </c>
      <c r="G40" s="129">
        <v>39.799999999999997</v>
      </c>
      <c r="H40" s="129">
        <f t="shared" si="20"/>
        <v>1.3165829145728645</v>
      </c>
      <c r="I40" s="129">
        <v>9.25</v>
      </c>
      <c r="J40" s="129">
        <v>21.8</v>
      </c>
      <c r="K40" s="175">
        <v>7.25</v>
      </c>
      <c r="L40" s="171">
        <v>34</v>
      </c>
      <c r="M40" s="129">
        <v>50</v>
      </c>
      <c r="N40" s="129">
        <v>48.8</v>
      </c>
      <c r="O40" s="129">
        <f t="shared" si="21"/>
        <v>1.0245901639344264</v>
      </c>
      <c r="P40" s="129">
        <v>16.5</v>
      </c>
      <c r="Q40" s="129">
        <v>19.2</v>
      </c>
      <c r="R40" s="177">
        <v>11.6</v>
      </c>
      <c r="S40" s="181">
        <v>50.2</v>
      </c>
      <c r="T40" s="129">
        <v>51.9</v>
      </c>
      <c r="U40" s="129">
        <v>41.9</v>
      </c>
      <c r="V40" s="129">
        <f t="shared" si="22"/>
        <v>1.2386634844868736</v>
      </c>
      <c r="W40" s="129">
        <v>21.3</v>
      </c>
      <c r="X40" s="129">
        <v>28.5</v>
      </c>
      <c r="Y40" s="175">
        <v>16.600000000000001</v>
      </c>
      <c r="Z40" s="171">
        <v>26</v>
      </c>
      <c r="AA40" s="129">
        <v>42.5</v>
      </c>
      <c r="AB40" s="129">
        <v>48.8</v>
      </c>
      <c r="AC40" s="129">
        <f t="shared" si="39"/>
        <v>0.87090163934426235</v>
      </c>
      <c r="AD40" s="129">
        <v>11</v>
      </c>
      <c r="AE40" s="129">
        <v>16.899999999999999</v>
      </c>
      <c r="AF40" s="177">
        <v>7.36</v>
      </c>
      <c r="AG40" s="190">
        <v>18109408</v>
      </c>
      <c r="AH40" s="133">
        <f t="shared" si="23"/>
        <v>4798993.12</v>
      </c>
      <c r="AI40" s="133">
        <f t="shared" si="24"/>
        <v>2514672.39488</v>
      </c>
      <c r="AJ40" s="133">
        <f t="shared" si="25"/>
        <v>1909999.2617599999</v>
      </c>
      <c r="AK40" s="191">
        <f t="shared" si="26"/>
        <v>182313.74862879998</v>
      </c>
      <c r="AL40" s="184">
        <v>365019</v>
      </c>
      <c r="AM40" s="133">
        <f t="shared" si="27"/>
        <v>124106.46</v>
      </c>
      <c r="AN40" s="133">
        <f t="shared" si="28"/>
        <v>62053.23</v>
      </c>
      <c r="AO40" s="133">
        <f t="shared" si="29"/>
        <v>60563.95248</v>
      </c>
      <c r="AP40" s="196">
        <f t="shared" si="30"/>
        <v>7198.1746800000001</v>
      </c>
      <c r="AQ40" s="190">
        <v>189266</v>
      </c>
      <c r="AR40" s="133">
        <f t="shared" si="31"/>
        <v>95011.532000000007</v>
      </c>
      <c r="AS40" s="133">
        <f t="shared" si="32"/>
        <v>49310.985108000001</v>
      </c>
      <c r="AT40" s="133">
        <f t="shared" si="33"/>
        <v>39809.831908</v>
      </c>
      <c r="AU40" s="191">
        <f t="shared" si="34"/>
        <v>8185.6235279280008</v>
      </c>
      <c r="AV40" s="184">
        <v>78274</v>
      </c>
      <c r="AW40" s="133">
        <f t="shared" si="35"/>
        <v>20351.240000000002</v>
      </c>
      <c r="AX40" s="133">
        <f t="shared" si="36"/>
        <v>8649.277</v>
      </c>
      <c r="AY40" s="133">
        <f t="shared" si="37"/>
        <v>9931.4051199999994</v>
      </c>
      <c r="AZ40" s="141">
        <f t="shared" si="38"/>
        <v>636.5867872</v>
      </c>
    </row>
    <row r="41" spans="1:52" x14ac:dyDescent="0.3">
      <c r="A41" s="114" t="s">
        <v>327</v>
      </c>
      <c r="B41" s="116" t="s">
        <v>251</v>
      </c>
      <c r="C41" s="116" t="s">
        <v>242</v>
      </c>
      <c r="D41" s="72" t="s">
        <v>91</v>
      </c>
      <c r="E41" s="181">
        <v>29.7</v>
      </c>
      <c r="F41" s="129">
        <v>48.2</v>
      </c>
      <c r="G41" s="129">
        <v>44.8</v>
      </c>
      <c r="H41" s="129">
        <f t="shared" si="20"/>
        <v>1.0758928571428572</v>
      </c>
      <c r="I41" s="129">
        <v>8.08</v>
      </c>
      <c r="J41" s="129">
        <v>18</v>
      </c>
      <c r="K41" s="175">
        <v>7.31</v>
      </c>
      <c r="L41" s="171">
        <v>41.5</v>
      </c>
      <c r="M41" s="129">
        <v>49.8</v>
      </c>
      <c r="N41" s="129">
        <v>47.5</v>
      </c>
      <c r="O41" s="129">
        <f t="shared" si="21"/>
        <v>1.0484210526315789</v>
      </c>
      <c r="P41" s="129">
        <v>14.5</v>
      </c>
      <c r="Q41" s="129">
        <v>12.8</v>
      </c>
      <c r="R41" s="177">
        <v>7.7</v>
      </c>
      <c r="S41" s="181">
        <v>47.6</v>
      </c>
      <c r="T41" s="129">
        <v>42.6</v>
      </c>
      <c r="U41" s="129">
        <v>52.8</v>
      </c>
      <c r="V41" s="129">
        <f t="shared" si="22"/>
        <v>0.80681818181818188</v>
      </c>
      <c r="W41" s="129">
        <v>15.7</v>
      </c>
      <c r="X41" s="129">
        <v>19.2</v>
      </c>
      <c r="Y41" s="175">
        <v>13.8</v>
      </c>
      <c r="Z41" s="171">
        <v>28.2</v>
      </c>
      <c r="AA41" s="129">
        <v>40.700000000000003</v>
      </c>
      <c r="AB41" s="129">
        <v>27.3</v>
      </c>
      <c r="AC41" s="129">
        <f t="shared" si="39"/>
        <v>1.4908424908424909</v>
      </c>
      <c r="AD41" s="129">
        <v>4.54</v>
      </c>
      <c r="AE41" s="129">
        <v>10.5</v>
      </c>
      <c r="AF41" s="177">
        <v>3.54</v>
      </c>
      <c r="AG41" s="190">
        <v>22359408</v>
      </c>
      <c r="AH41" s="133">
        <f t="shared" si="23"/>
        <v>6640744.176</v>
      </c>
      <c r="AI41" s="133">
        <f t="shared" si="24"/>
        <v>3200838.6928320001</v>
      </c>
      <c r="AJ41" s="133">
        <f t="shared" si="25"/>
        <v>2975053.3908480001</v>
      </c>
      <c r="AK41" s="191">
        <f t="shared" si="26"/>
        <v>233981.30844601919</v>
      </c>
      <c r="AL41" s="184">
        <v>773794</v>
      </c>
      <c r="AM41" s="133">
        <f t="shared" si="27"/>
        <v>321124.51</v>
      </c>
      <c r="AN41" s="133">
        <f t="shared" si="28"/>
        <v>159920.00597999999</v>
      </c>
      <c r="AO41" s="133">
        <f t="shared" si="29"/>
        <v>152534.14225</v>
      </c>
      <c r="AP41" s="196">
        <f t="shared" si="30"/>
        <v>12313.84046046</v>
      </c>
      <c r="AQ41" s="190">
        <v>363355</v>
      </c>
      <c r="AR41" s="133">
        <f t="shared" si="31"/>
        <v>172956.98</v>
      </c>
      <c r="AS41" s="133">
        <f t="shared" si="32"/>
        <v>73679.673479999998</v>
      </c>
      <c r="AT41" s="133">
        <f t="shared" si="33"/>
        <v>91321.285439999992</v>
      </c>
      <c r="AU41" s="191">
        <f t="shared" si="34"/>
        <v>10167.794940240001</v>
      </c>
      <c r="AV41" s="184">
        <v>118432</v>
      </c>
      <c r="AW41" s="133">
        <f t="shared" si="35"/>
        <v>33397.824000000001</v>
      </c>
      <c r="AX41" s="133">
        <f t="shared" si="36"/>
        <v>13592.914368</v>
      </c>
      <c r="AY41" s="133">
        <f t="shared" si="37"/>
        <v>9117.6059519999999</v>
      </c>
      <c r="AZ41" s="141">
        <f t="shared" si="38"/>
        <v>481.18916862719999</v>
      </c>
    </row>
    <row r="42" spans="1:52" x14ac:dyDescent="0.3">
      <c r="A42" s="114" t="s">
        <v>328</v>
      </c>
      <c r="B42" s="116" t="s">
        <v>251</v>
      </c>
      <c r="C42" s="116" t="s">
        <v>242</v>
      </c>
      <c r="D42" s="72" t="s">
        <v>334</v>
      </c>
      <c r="E42" s="181">
        <v>40.200000000000003</v>
      </c>
      <c r="F42" s="129">
        <v>49.4</v>
      </c>
      <c r="G42" s="129">
        <v>40.5</v>
      </c>
      <c r="H42" s="129">
        <f t="shared" si="20"/>
        <v>1.219753086419753</v>
      </c>
      <c r="I42" s="129">
        <v>6.57</v>
      </c>
      <c r="J42" s="129">
        <v>10.9</v>
      </c>
      <c r="K42" s="175">
        <v>4.2</v>
      </c>
      <c r="L42" s="171">
        <v>41.8</v>
      </c>
      <c r="M42" s="129">
        <v>47.9</v>
      </c>
      <c r="N42" s="129">
        <v>35.799999999999997</v>
      </c>
      <c r="O42" s="129">
        <f t="shared" si="21"/>
        <v>1.3379888268156426</v>
      </c>
      <c r="P42" s="129">
        <v>13.6</v>
      </c>
      <c r="Q42" s="129">
        <v>8.65</v>
      </c>
      <c r="R42" s="177">
        <v>7.26</v>
      </c>
      <c r="S42" s="181">
        <v>58.4</v>
      </c>
      <c r="T42" s="129">
        <v>46.7</v>
      </c>
      <c r="U42" s="129">
        <v>50.3</v>
      </c>
      <c r="V42" s="129">
        <f t="shared" si="22"/>
        <v>0.92842942345924462</v>
      </c>
      <c r="W42" s="129">
        <v>8.89</v>
      </c>
      <c r="X42" s="129">
        <v>11.4</v>
      </c>
      <c r="Y42" s="175">
        <v>8.8000000000000007</v>
      </c>
      <c r="Z42" s="171">
        <v>16.600000000000001</v>
      </c>
      <c r="AA42" s="129">
        <v>40.5</v>
      </c>
      <c r="AB42" s="129">
        <v>48.5</v>
      </c>
      <c r="AC42" s="129">
        <f t="shared" si="39"/>
        <v>0.83505154639175261</v>
      </c>
      <c r="AD42" s="129">
        <v>5.33</v>
      </c>
      <c r="AE42" s="129">
        <v>8.56</v>
      </c>
      <c r="AF42" s="177">
        <v>4.47</v>
      </c>
      <c r="AG42" s="190">
        <v>15172894</v>
      </c>
      <c r="AH42" s="133">
        <f t="shared" si="23"/>
        <v>6099503.3880000003</v>
      </c>
      <c r="AI42" s="133">
        <f t="shared" si="24"/>
        <v>3013154.6736719999</v>
      </c>
      <c r="AJ42" s="133">
        <f t="shared" si="25"/>
        <v>2470298.8721400001</v>
      </c>
      <c r="AK42" s="191">
        <f t="shared" si="26"/>
        <v>126552.49629422399</v>
      </c>
      <c r="AL42" s="184">
        <v>656545</v>
      </c>
      <c r="AM42" s="133">
        <f t="shared" si="27"/>
        <v>274435.80999999994</v>
      </c>
      <c r="AN42" s="133">
        <f t="shared" si="28"/>
        <v>131454.75298999998</v>
      </c>
      <c r="AO42" s="133">
        <f t="shared" si="29"/>
        <v>98248.019979999983</v>
      </c>
      <c r="AP42" s="196">
        <f t="shared" si="30"/>
        <v>9543.6150670739989</v>
      </c>
      <c r="AQ42" s="190">
        <v>137867</v>
      </c>
      <c r="AR42" s="133">
        <f t="shared" si="31"/>
        <v>80514.327999999994</v>
      </c>
      <c r="AS42" s="133">
        <f t="shared" si="32"/>
        <v>37600.191176</v>
      </c>
      <c r="AT42" s="133">
        <f t="shared" si="33"/>
        <v>40498.706983999997</v>
      </c>
      <c r="AU42" s="191">
        <f t="shared" si="34"/>
        <v>3308.816823488</v>
      </c>
      <c r="AV42" s="184">
        <v>132896</v>
      </c>
      <c r="AW42" s="133">
        <f t="shared" si="35"/>
        <v>22060.736000000001</v>
      </c>
      <c r="AX42" s="133">
        <f t="shared" si="36"/>
        <v>8934.5980800000016</v>
      </c>
      <c r="AY42" s="133">
        <f t="shared" si="37"/>
        <v>10699.45696</v>
      </c>
      <c r="AZ42" s="141">
        <f t="shared" si="38"/>
        <v>399.37653417600006</v>
      </c>
    </row>
    <row r="43" spans="1:52" x14ac:dyDescent="0.3">
      <c r="A43" s="114" t="s">
        <v>329</v>
      </c>
      <c r="B43" s="116" t="s">
        <v>251</v>
      </c>
      <c r="C43" s="116" t="s">
        <v>242</v>
      </c>
      <c r="D43" s="72" t="s">
        <v>334</v>
      </c>
      <c r="E43" s="181">
        <v>37.4</v>
      </c>
      <c r="F43" s="129">
        <v>44.6</v>
      </c>
      <c r="G43" s="129">
        <v>47.8</v>
      </c>
      <c r="H43" s="129">
        <f t="shared" si="20"/>
        <v>0.93305439330543938</v>
      </c>
      <c r="I43" s="129">
        <v>4.78</v>
      </c>
      <c r="J43" s="129">
        <v>9.8699999999999992</v>
      </c>
      <c r="K43" s="175">
        <v>3.37</v>
      </c>
      <c r="L43" s="171">
        <v>23.4</v>
      </c>
      <c r="M43" s="129">
        <v>60.2</v>
      </c>
      <c r="N43" s="129">
        <v>28.5</v>
      </c>
      <c r="O43" s="129">
        <f t="shared" si="21"/>
        <v>2.1122807017543859</v>
      </c>
      <c r="P43" s="129">
        <v>13.3</v>
      </c>
      <c r="Q43" s="129">
        <v>18.3</v>
      </c>
      <c r="R43" s="177">
        <v>10.4</v>
      </c>
      <c r="S43" s="181">
        <v>18.899999999999999</v>
      </c>
      <c r="T43" s="129">
        <v>60.5</v>
      </c>
      <c r="U43" s="129">
        <v>29</v>
      </c>
      <c r="V43" s="129">
        <f t="shared" si="22"/>
        <v>2.0862068965517242</v>
      </c>
      <c r="W43" s="129">
        <v>15.5</v>
      </c>
      <c r="X43" s="129">
        <v>24.9</v>
      </c>
      <c r="Y43" s="175">
        <v>16.7</v>
      </c>
      <c r="Z43" s="171">
        <v>16.2</v>
      </c>
      <c r="AA43" s="129">
        <v>43.7</v>
      </c>
      <c r="AB43" s="129">
        <v>42.9</v>
      </c>
      <c r="AC43" s="129">
        <f t="shared" si="39"/>
        <v>1.0186480186480187</v>
      </c>
      <c r="AD43" s="129">
        <v>5.18</v>
      </c>
      <c r="AE43" s="129">
        <v>10</v>
      </c>
      <c r="AF43" s="177">
        <v>3.42</v>
      </c>
      <c r="AG43" s="190">
        <v>17939831</v>
      </c>
      <c r="AH43" s="133">
        <f t="shared" si="23"/>
        <v>6709496.7939999998</v>
      </c>
      <c r="AI43" s="133">
        <f t="shared" si="24"/>
        <v>2992435.5701239998</v>
      </c>
      <c r="AJ43" s="133">
        <f t="shared" si="25"/>
        <v>3207139.467532</v>
      </c>
      <c r="AK43" s="191">
        <f t="shared" si="26"/>
        <v>100845.07871317881</v>
      </c>
      <c r="AL43" s="184">
        <v>298121</v>
      </c>
      <c r="AM43" s="133">
        <f t="shared" si="27"/>
        <v>69760.313999999998</v>
      </c>
      <c r="AN43" s="133">
        <f t="shared" si="28"/>
        <v>41995.709028000005</v>
      </c>
      <c r="AO43" s="133">
        <f t="shared" si="29"/>
        <v>19881.689490000001</v>
      </c>
      <c r="AP43" s="196">
        <f t="shared" si="30"/>
        <v>4367.5537389120009</v>
      </c>
      <c r="AQ43" s="190">
        <v>104275</v>
      </c>
      <c r="AR43" s="133">
        <f t="shared" si="31"/>
        <v>19707.974999999999</v>
      </c>
      <c r="AS43" s="133">
        <f t="shared" si="32"/>
        <v>11923.324874999998</v>
      </c>
      <c r="AT43" s="133">
        <f t="shared" si="33"/>
        <v>5715.3127499999991</v>
      </c>
      <c r="AU43" s="191">
        <f t="shared" si="34"/>
        <v>1991.1952541249996</v>
      </c>
      <c r="AV43" s="184">
        <v>132704</v>
      </c>
      <c r="AW43" s="133">
        <f t="shared" si="35"/>
        <v>21498.047999999999</v>
      </c>
      <c r="AX43" s="133">
        <f t="shared" si="36"/>
        <v>9394.646976</v>
      </c>
      <c r="AY43" s="133">
        <f t="shared" si="37"/>
        <v>9222.6625920000006</v>
      </c>
      <c r="AZ43" s="141">
        <f t="shared" si="38"/>
        <v>321.29692657920003</v>
      </c>
    </row>
    <row r="44" spans="1:52" x14ac:dyDescent="0.3">
      <c r="A44" s="114" t="s">
        <v>330</v>
      </c>
      <c r="B44" s="116" t="s">
        <v>251</v>
      </c>
      <c r="C44" s="116" t="s">
        <v>242</v>
      </c>
      <c r="D44" s="72" t="s">
        <v>91</v>
      </c>
      <c r="E44" s="181">
        <v>33.799999999999997</v>
      </c>
      <c r="F44" s="129">
        <v>62.5</v>
      </c>
      <c r="G44" s="129">
        <v>31.2</v>
      </c>
      <c r="H44" s="129">
        <f t="shared" si="20"/>
        <v>2.0032051282051282</v>
      </c>
      <c r="I44" s="129">
        <v>6.76</v>
      </c>
      <c r="J44" s="129">
        <v>14.9</v>
      </c>
      <c r="K44" s="175">
        <v>4.3</v>
      </c>
      <c r="L44" s="171">
        <v>33.5</v>
      </c>
      <c r="M44" s="129">
        <v>58.4</v>
      </c>
      <c r="N44" s="129">
        <v>33.799999999999997</v>
      </c>
      <c r="O44" s="129">
        <f t="shared" si="21"/>
        <v>1.7278106508875741</v>
      </c>
      <c r="P44" s="129">
        <v>9.16</v>
      </c>
      <c r="Q44" s="129">
        <v>7.71</v>
      </c>
      <c r="R44" s="177">
        <v>3.73</v>
      </c>
      <c r="S44" s="181">
        <v>57</v>
      </c>
      <c r="T44" s="129">
        <v>40.5</v>
      </c>
      <c r="U44" s="129">
        <v>55.6</v>
      </c>
      <c r="V44" s="129">
        <f t="shared" si="22"/>
        <v>0.72841726618705038</v>
      </c>
      <c r="W44" s="129">
        <v>15.6</v>
      </c>
      <c r="X44" s="129">
        <v>20.5</v>
      </c>
      <c r="Y44" s="175">
        <v>13.8</v>
      </c>
      <c r="Z44" s="171">
        <v>22.7</v>
      </c>
      <c r="AA44" s="129">
        <v>38.9</v>
      </c>
      <c r="AB44" s="129">
        <v>54.1</v>
      </c>
      <c r="AC44" s="129">
        <f t="shared" si="39"/>
        <v>0.71903881700554528</v>
      </c>
      <c r="AD44" s="129">
        <v>4.25</v>
      </c>
      <c r="AE44" s="129">
        <v>5.76</v>
      </c>
      <c r="AF44" s="177">
        <v>1.85</v>
      </c>
      <c r="AG44" s="190">
        <v>36270353</v>
      </c>
      <c r="AH44" s="133">
        <f t="shared" si="23"/>
        <v>12259379.313999999</v>
      </c>
      <c r="AI44" s="133">
        <f t="shared" si="24"/>
        <v>7662112.07125</v>
      </c>
      <c r="AJ44" s="133">
        <f t="shared" si="25"/>
        <v>3824926.3459679997</v>
      </c>
      <c r="AK44" s="191">
        <f t="shared" si="26"/>
        <v>329470.81906374998</v>
      </c>
      <c r="AL44" s="184">
        <v>474345</v>
      </c>
      <c r="AM44" s="133">
        <f t="shared" si="27"/>
        <v>158905.57500000001</v>
      </c>
      <c r="AN44" s="133">
        <f t="shared" si="28"/>
        <v>92800.855800000005</v>
      </c>
      <c r="AO44" s="133">
        <f t="shared" si="29"/>
        <v>53710.084349999997</v>
      </c>
      <c r="AP44" s="196">
        <f t="shared" si="30"/>
        <v>3461.4719213400003</v>
      </c>
      <c r="AQ44" s="190">
        <v>232376</v>
      </c>
      <c r="AR44" s="133">
        <f t="shared" si="31"/>
        <v>132454.32</v>
      </c>
      <c r="AS44" s="133">
        <f t="shared" si="32"/>
        <v>53643.999600000003</v>
      </c>
      <c r="AT44" s="133">
        <f t="shared" si="33"/>
        <v>73644.601920000001</v>
      </c>
      <c r="AU44" s="191">
        <f t="shared" si="34"/>
        <v>7402.8719448000011</v>
      </c>
      <c r="AV44" s="184">
        <v>153342</v>
      </c>
      <c r="AW44" s="133">
        <f t="shared" si="35"/>
        <v>34808.633999999998</v>
      </c>
      <c r="AX44" s="133">
        <f t="shared" si="36"/>
        <v>13540.558625999998</v>
      </c>
      <c r="AY44" s="133">
        <f t="shared" si="37"/>
        <v>18831.470993999999</v>
      </c>
      <c r="AZ44" s="141">
        <f t="shared" si="38"/>
        <v>250.50033458099998</v>
      </c>
    </row>
    <row r="45" spans="1:52" x14ac:dyDescent="0.3">
      <c r="A45" s="114" t="s">
        <v>331</v>
      </c>
      <c r="B45" s="116" t="s">
        <v>251</v>
      </c>
      <c r="C45" s="116" t="s">
        <v>242</v>
      </c>
      <c r="D45" s="72" t="s">
        <v>334</v>
      </c>
      <c r="E45" s="181">
        <v>26.3</v>
      </c>
      <c r="F45" s="129">
        <v>56.1</v>
      </c>
      <c r="G45" s="129">
        <v>33.299999999999997</v>
      </c>
      <c r="H45" s="129">
        <f t="shared" si="20"/>
        <v>1.6846846846846848</v>
      </c>
      <c r="I45" s="129">
        <v>8</v>
      </c>
      <c r="J45" s="129">
        <v>26.5</v>
      </c>
      <c r="K45" s="175">
        <v>6.11</v>
      </c>
      <c r="L45" s="171">
        <v>34.700000000000003</v>
      </c>
      <c r="M45" s="129">
        <v>48.9</v>
      </c>
      <c r="N45" s="129">
        <v>42.1</v>
      </c>
      <c r="O45" s="129">
        <f t="shared" si="21"/>
        <v>1.1615201900237528</v>
      </c>
      <c r="P45" s="129">
        <v>19.100000000000001</v>
      </c>
      <c r="Q45" s="129">
        <v>12.1</v>
      </c>
      <c r="R45" s="177">
        <v>6.05</v>
      </c>
      <c r="S45" s="181">
        <v>31.9</v>
      </c>
      <c r="T45" s="129">
        <v>43.9</v>
      </c>
      <c r="U45" s="129">
        <v>44.1</v>
      </c>
      <c r="V45" s="129">
        <f t="shared" si="22"/>
        <v>0.99546485260770967</v>
      </c>
      <c r="W45" s="129">
        <v>19.2</v>
      </c>
      <c r="X45" s="129">
        <v>17.8</v>
      </c>
      <c r="Y45" s="175">
        <v>14.4</v>
      </c>
      <c r="Z45" s="171">
        <v>19.600000000000001</v>
      </c>
      <c r="AA45" s="129">
        <v>35.799999999999997</v>
      </c>
      <c r="AB45" s="129">
        <v>51.5</v>
      </c>
      <c r="AC45" s="129">
        <f t="shared" si="39"/>
        <v>0.69514563106796112</v>
      </c>
      <c r="AD45" s="129">
        <v>3.2</v>
      </c>
      <c r="AE45" s="129">
        <v>6.51</v>
      </c>
      <c r="AF45" s="177">
        <v>3.2</v>
      </c>
      <c r="AG45" s="190">
        <f>16808492*(10400/10800)</f>
        <v>16185955.259259257</v>
      </c>
      <c r="AH45" s="133">
        <f t="shared" si="23"/>
        <v>4256906.2331851842</v>
      </c>
      <c r="AI45" s="133">
        <f t="shared" si="24"/>
        <v>2388124.3968168884</v>
      </c>
      <c r="AJ45" s="133">
        <f t="shared" si="25"/>
        <v>1417549.7756506663</v>
      </c>
      <c r="AK45" s="191">
        <f t="shared" si="26"/>
        <v>145914.40064551189</v>
      </c>
      <c r="AL45" s="184">
        <f>411724*(10400/10800)</f>
        <v>396474.96296296292</v>
      </c>
      <c r="AM45" s="133">
        <f t="shared" si="27"/>
        <v>137576.81214814814</v>
      </c>
      <c r="AN45" s="133">
        <f t="shared" si="28"/>
        <v>67275.061140444435</v>
      </c>
      <c r="AO45" s="133">
        <f t="shared" si="29"/>
        <v>57919.837914370364</v>
      </c>
      <c r="AP45" s="196">
        <f t="shared" si="30"/>
        <v>4070.1411989968883</v>
      </c>
      <c r="AQ45" s="190">
        <v>124663</v>
      </c>
      <c r="AR45" s="133">
        <f t="shared" si="31"/>
        <v>39767.496999999996</v>
      </c>
      <c r="AS45" s="133">
        <f t="shared" si="32"/>
        <v>17457.931182999997</v>
      </c>
      <c r="AT45" s="133">
        <f t="shared" si="33"/>
        <v>17537.466176999998</v>
      </c>
      <c r="AU45" s="191">
        <f t="shared" si="34"/>
        <v>2513.9420903519995</v>
      </c>
      <c r="AV45" s="184">
        <v>114725</v>
      </c>
      <c r="AW45" s="133">
        <f t="shared" si="35"/>
        <v>22486.1</v>
      </c>
      <c r="AX45" s="133">
        <f t="shared" si="36"/>
        <v>8050.023799999999</v>
      </c>
      <c r="AY45" s="133">
        <f t="shared" si="37"/>
        <v>11580.341499999999</v>
      </c>
      <c r="AZ45" s="141">
        <f t="shared" si="38"/>
        <v>257.60076159999994</v>
      </c>
    </row>
    <row r="46" spans="1:52" x14ac:dyDescent="0.3">
      <c r="A46" s="114" t="s">
        <v>332</v>
      </c>
      <c r="B46" s="116" t="s">
        <v>251</v>
      </c>
      <c r="C46" s="116" t="s">
        <v>242</v>
      </c>
      <c r="D46" s="72" t="s">
        <v>334</v>
      </c>
      <c r="E46" s="181">
        <v>30.5</v>
      </c>
      <c r="F46" s="129">
        <v>47.2</v>
      </c>
      <c r="G46" s="129">
        <v>46.2</v>
      </c>
      <c r="H46" s="129">
        <f t="shared" si="20"/>
        <v>1.0216450216450217</v>
      </c>
      <c r="I46" s="129">
        <v>8</v>
      </c>
      <c r="J46" s="129">
        <v>15.4</v>
      </c>
      <c r="K46" s="175">
        <v>6.58</v>
      </c>
      <c r="L46" s="171">
        <v>26.2</v>
      </c>
      <c r="M46" s="129">
        <v>49.1</v>
      </c>
      <c r="N46" s="129">
        <v>37.4</v>
      </c>
      <c r="O46" s="129">
        <f t="shared" si="21"/>
        <v>1.3128342245989306</v>
      </c>
      <c r="P46" s="129">
        <v>21.6</v>
      </c>
      <c r="Q46" s="129">
        <v>18.5</v>
      </c>
      <c r="R46" s="177">
        <v>11.4</v>
      </c>
      <c r="S46" s="181">
        <v>63.2</v>
      </c>
      <c r="T46" s="129">
        <v>42.9</v>
      </c>
      <c r="U46" s="129">
        <v>54</v>
      </c>
      <c r="V46" s="129">
        <f t="shared" si="22"/>
        <v>0.7944444444444444</v>
      </c>
      <c r="W46" s="129">
        <v>15.8</v>
      </c>
      <c r="X46" s="129">
        <v>17.8</v>
      </c>
      <c r="Y46" s="175">
        <v>13.3</v>
      </c>
      <c r="Z46" s="171">
        <v>18.2</v>
      </c>
      <c r="AA46" s="129">
        <v>36.5</v>
      </c>
      <c r="AB46" s="129">
        <v>47.4</v>
      </c>
      <c r="AC46" s="129">
        <f t="shared" si="39"/>
        <v>0.77004219409282704</v>
      </c>
      <c r="AD46" s="129">
        <v>4.07</v>
      </c>
      <c r="AE46" s="129">
        <v>4.43</v>
      </c>
      <c r="AF46" s="177">
        <v>1.45</v>
      </c>
      <c r="AG46" s="190">
        <v>13622819</v>
      </c>
      <c r="AH46" s="133">
        <f t="shared" si="23"/>
        <v>4154959.7949999999</v>
      </c>
      <c r="AI46" s="133">
        <f t="shared" si="24"/>
        <v>1961141.02324</v>
      </c>
      <c r="AJ46" s="133">
        <f t="shared" si="25"/>
        <v>1919591.4252900002</v>
      </c>
      <c r="AK46" s="191">
        <f t="shared" si="26"/>
        <v>129043.079329192</v>
      </c>
      <c r="AL46" s="184">
        <v>744566</v>
      </c>
      <c r="AM46" s="133">
        <f t="shared" si="27"/>
        <v>195076.29199999999</v>
      </c>
      <c r="AN46" s="133">
        <f t="shared" si="28"/>
        <v>95782.459372000012</v>
      </c>
      <c r="AO46" s="133">
        <f t="shared" si="29"/>
        <v>72958.533207999993</v>
      </c>
      <c r="AP46" s="196">
        <f t="shared" si="30"/>
        <v>10919.200368408003</v>
      </c>
      <c r="AQ46" s="190">
        <v>115937</v>
      </c>
      <c r="AR46" s="133">
        <f t="shared" si="31"/>
        <v>73272.184000000008</v>
      </c>
      <c r="AS46" s="133">
        <f t="shared" si="32"/>
        <v>31433.766936000004</v>
      </c>
      <c r="AT46" s="133">
        <f t="shared" si="33"/>
        <v>39566.979360000005</v>
      </c>
      <c r="AU46" s="191">
        <f t="shared" si="34"/>
        <v>4180.6910024880008</v>
      </c>
      <c r="AV46" s="184">
        <v>128897</v>
      </c>
      <c r="AW46" s="133">
        <f t="shared" si="35"/>
        <v>23459.254000000001</v>
      </c>
      <c r="AX46" s="133">
        <f t="shared" si="36"/>
        <v>8562.6277100000007</v>
      </c>
      <c r="AY46" s="133">
        <f t="shared" si="37"/>
        <v>11119.686396000001</v>
      </c>
      <c r="AZ46" s="141">
        <f t="shared" si="38"/>
        <v>124.15810179500001</v>
      </c>
    </row>
    <row r="47" spans="1:52" x14ac:dyDescent="0.3">
      <c r="A47" s="114" t="s">
        <v>333</v>
      </c>
      <c r="B47" s="116" t="s">
        <v>251</v>
      </c>
      <c r="C47" s="116" t="s">
        <v>242</v>
      </c>
      <c r="D47" s="72" t="s">
        <v>334</v>
      </c>
      <c r="E47" s="181">
        <v>39.5</v>
      </c>
      <c r="F47" s="129">
        <v>48</v>
      </c>
      <c r="G47" s="129">
        <v>45.2</v>
      </c>
      <c r="H47" s="129">
        <f t="shared" si="20"/>
        <v>1.0619469026548671</v>
      </c>
      <c r="I47" s="129">
        <v>6.91</v>
      </c>
      <c r="J47" s="129">
        <v>12.8</v>
      </c>
      <c r="K47" s="175">
        <v>5.09</v>
      </c>
      <c r="L47" s="171">
        <v>42</v>
      </c>
      <c r="M47" s="129">
        <v>51.1</v>
      </c>
      <c r="N47" s="129">
        <v>42.7</v>
      </c>
      <c r="O47" s="129">
        <f t="shared" si="21"/>
        <v>1.1967213114754098</v>
      </c>
      <c r="P47" s="129">
        <v>16.399999999999999</v>
      </c>
      <c r="Q47" s="129">
        <v>13.5</v>
      </c>
      <c r="R47" s="177">
        <v>9.41</v>
      </c>
      <c r="S47" s="181">
        <v>57.6</v>
      </c>
      <c r="T47" s="129">
        <v>45</v>
      </c>
      <c r="U47" s="129">
        <v>51.8</v>
      </c>
      <c r="V47" s="129">
        <f t="shared" si="22"/>
        <v>0.86872586872586877</v>
      </c>
      <c r="W47" s="129">
        <v>13.6</v>
      </c>
      <c r="X47" s="129">
        <v>15.4</v>
      </c>
      <c r="Y47" s="175">
        <v>12.2</v>
      </c>
      <c r="Z47" s="171">
        <v>18.399999999999999</v>
      </c>
      <c r="AA47" s="129">
        <v>29.7</v>
      </c>
      <c r="AB47" s="129">
        <v>56.1</v>
      </c>
      <c r="AC47" s="129">
        <f t="shared" si="39"/>
        <v>0.52941176470588236</v>
      </c>
      <c r="AD47" s="129">
        <v>2.62</v>
      </c>
      <c r="AE47" s="129">
        <v>3.79</v>
      </c>
      <c r="AF47" s="177">
        <v>1.41</v>
      </c>
      <c r="AG47" s="190">
        <v>18346384</v>
      </c>
      <c r="AH47" s="133">
        <f t="shared" si="23"/>
        <v>7246821.6799999997</v>
      </c>
      <c r="AI47" s="133">
        <f t="shared" si="24"/>
        <v>3478474.4063999997</v>
      </c>
      <c r="AJ47" s="133">
        <f t="shared" si="25"/>
        <v>3275563.3993599997</v>
      </c>
      <c r="AK47" s="191">
        <f t="shared" si="26"/>
        <v>177054.34728575998</v>
      </c>
      <c r="AL47" s="184">
        <v>282396</v>
      </c>
      <c r="AM47" s="133">
        <f t="shared" si="27"/>
        <v>118606.32</v>
      </c>
      <c r="AN47" s="133">
        <f t="shared" si="28"/>
        <v>60607.829520000007</v>
      </c>
      <c r="AO47" s="133">
        <f t="shared" si="29"/>
        <v>50644.898640000007</v>
      </c>
      <c r="AP47" s="196">
        <f t="shared" si="30"/>
        <v>5703.1967578320009</v>
      </c>
      <c r="AQ47" s="190">
        <v>183351</v>
      </c>
      <c r="AR47" s="133">
        <f t="shared" si="31"/>
        <v>105610.17599999999</v>
      </c>
      <c r="AS47" s="133">
        <f t="shared" si="32"/>
        <v>47524.5792</v>
      </c>
      <c r="AT47" s="133">
        <f t="shared" si="33"/>
        <v>54706.071167999988</v>
      </c>
      <c r="AU47" s="191">
        <f t="shared" si="34"/>
        <v>5797.9986624000003</v>
      </c>
      <c r="AV47" s="184">
        <v>232447</v>
      </c>
      <c r="AW47" s="133">
        <f t="shared" si="35"/>
        <v>42770.248</v>
      </c>
      <c r="AX47" s="133">
        <f t="shared" si="36"/>
        <v>12702.763655999999</v>
      </c>
      <c r="AY47" s="133">
        <f t="shared" si="37"/>
        <v>23994.109128</v>
      </c>
      <c r="AZ47" s="141">
        <f t="shared" si="38"/>
        <v>179.10896754959998</v>
      </c>
    </row>
    <row r="48" spans="1:52" x14ac:dyDescent="0.3">
      <c r="A48" s="114" t="s">
        <v>297</v>
      </c>
      <c r="B48" s="116" t="s">
        <v>251</v>
      </c>
      <c r="C48" s="116" t="s">
        <v>242</v>
      </c>
      <c r="D48" s="72" t="s">
        <v>91</v>
      </c>
      <c r="E48" s="181">
        <v>23.9</v>
      </c>
      <c r="F48" s="129">
        <v>51.3</v>
      </c>
      <c r="G48" s="129">
        <v>40.6</v>
      </c>
      <c r="H48" s="129">
        <f t="shared" si="20"/>
        <v>1.2635467980295565</v>
      </c>
      <c r="I48" s="129">
        <v>10.1</v>
      </c>
      <c r="J48" s="129">
        <v>27.5</v>
      </c>
      <c r="K48" s="175">
        <v>7.22</v>
      </c>
      <c r="L48" s="171">
        <v>22.5</v>
      </c>
      <c r="M48" s="129">
        <v>46.7</v>
      </c>
      <c r="N48" s="129">
        <v>39.700000000000003</v>
      </c>
      <c r="O48" s="129">
        <f t="shared" si="21"/>
        <v>1.1763224181360201</v>
      </c>
      <c r="P48" s="129">
        <v>16.3</v>
      </c>
      <c r="Q48" s="129">
        <v>9.1300000000000008</v>
      </c>
      <c r="R48" s="177">
        <v>5.1100000000000003</v>
      </c>
      <c r="S48" s="181">
        <v>45.7</v>
      </c>
      <c r="T48" s="129">
        <v>47.5</v>
      </c>
      <c r="U48" s="129">
        <v>54.4</v>
      </c>
      <c r="V48" s="129">
        <f t="shared" si="22"/>
        <v>0.87316176470588236</v>
      </c>
      <c r="W48" s="129">
        <v>17.899999999999999</v>
      </c>
      <c r="X48" s="129">
        <v>21.3</v>
      </c>
      <c r="Y48" s="175">
        <v>13.7</v>
      </c>
      <c r="Z48" s="171">
        <v>19.399999999999999</v>
      </c>
      <c r="AA48" s="129">
        <v>31.6</v>
      </c>
      <c r="AB48" s="129">
        <v>50.6</v>
      </c>
      <c r="AC48" s="129">
        <f t="shared" si="39"/>
        <v>0.624505928853755</v>
      </c>
      <c r="AD48" s="129">
        <v>6.69</v>
      </c>
      <c r="AE48" s="129">
        <v>15.9</v>
      </c>
      <c r="AF48" s="177">
        <v>4.96</v>
      </c>
      <c r="AG48" s="190">
        <v>25530275</v>
      </c>
      <c r="AH48" s="133">
        <f t="shared" si="23"/>
        <v>6101735.7249999996</v>
      </c>
      <c r="AI48" s="133">
        <f t="shared" si="24"/>
        <v>3130190.4269249993</v>
      </c>
      <c r="AJ48" s="133">
        <f t="shared" si="25"/>
        <v>2477304.7043500002</v>
      </c>
      <c r="AK48" s="191">
        <f t="shared" si="26"/>
        <v>225999.74882398493</v>
      </c>
      <c r="AL48" s="184">
        <v>696916</v>
      </c>
      <c r="AM48" s="133">
        <f t="shared" si="27"/>
        <v>156806.1</v>
      </c>
      <c r="AN48" s="133">
        <f t="shared" si="28"/>
        <v>73228.448700000008</v>
      </c>
      <c r="AO48" s="133">
        <f t="shared" si="29"/>
        <v>62252.021700000012</v>
      </c>
      <c r="AP48" s="196">
        <f t="shared" si="30"/>
        <v>3741.9737285700003</v>
      </c>
      <c r="AQ48" s="190">
        <v>212302</v>
      </c>
      <c r="AR48" s="133">
        <f t="shared" si="31"/>
        <v>97022.01400000001</v>
      </c>
      <c r="AS48" s="133">
        <f t="shared" si="32"/>
        <v>46085.45665</v>
      </c>
      <c r="AT48" s="133">
        <f t="shared" si="33"/>
        <v>52779.975616000003</v>
      </c>
      <c r="AU48" s="191">
        <f t="shared" si="34"/>
        <v>6313.7075610499996</v>
      </c>
      <c r="AV48" s="184">
        <v>95202</v>
      </c>
      <c r="AW48" s="133">
        <f t="shared" si="35"/>
        <v>18469.187999999998</v>
      </c>
      <c r="AX48" s="133">
        <f t="shared" si="36"/>
        <v>5836.2634079999998</v>
      </c>
      <c r="AY48" s="133">
        <f t="shared" si="37"/>
        <v>9345.4091279999993</v>
      </c>
      <c r="AZ48" s="141">
        <f t="shared" si="38"/>
        <v>289.47866503679995</v>
      </c>
    </row>
    <row r="49" spans="1:52" x14ac:dyDescent="0.3">
      <c r="A49" s="114" t="s">
        <v>285</v>
      </c>
      <c r="B49" s="116" t="s">
        <v>251</v>
      </c>
      <c r="C49" s="116" t="s">
        <v>242</v>
      </c>
      <c r="D49" s="72" t="s">
        <v>334</v>
      </c>
      <c r="E49" s="181">
        <v>26.8</v>
      </c>
      <c r="F49" s="129">
        <v>62.6</v>
      </c>
      <c r="G49" s="129">
        <v>27.9</v>
      </c>
      <c r="H49" s="129">
        <f t="shared" si="20"/>
        <v>2.2437275985663083</v>
      </c>
      <c r="I49" s="129">
        <v>15</v>
      </c>
      <c r="J49" s="129">
        <v>39.4</v>
      </c>
      <c r="K49" s="175">
        <v>8.2200000000000006</v>
      </c>
      <c r="L49" s="171">
        <v>56.3</v>
      </c>
      <c r="M49" s="129">
        <v>45.4</v>
      </c>
      <c r="N49" s="129">
        <v>33.9</v>
      </c>
      <c r="O49" s="129">
        <f t="shared" si="21"/>
        <v>1.3392330383480826</v>
      </c>
      <c r="P49" s="129">
        <v>13.8</v>
      </c>
      <c r="Q49" s="129">
        <v>16</v>
      </c>
      <c r="R49" s="177">
        <v>10.4</v>
      </c>
      <c r="S49" s="181">
        <v>70.5</v>
      </c>
      <c r="T49" s="129">
        <v>46.1</v>
      </c>
      <c r="U49" s="129">
        <v>48.2</v>
      </c>
      <c r="V49" s="129">
        <f t="shared" si="22"/>
        <v>0.95643153526970948</v>
      </c>
      <c r="W49" s="129">
        <v>14.5</v>
      </c>
      <c r="X49" s="129">
        <v>15.9</v>
      </c>
      <c r="Y49" s="175">
        <v>12.6</v>
      </c>
      <c r="Z49" s="171">
        <v>23.6</v>
      </c>
      <c r="AA49" s="129">
        <v>51</v>
      </c>
      <c r="AB49" s="129">
        <v>31.7</v>
      </c>
      <c r="AC49" s="129">
        <f t="shared" si="39"/>
        <v>1.6088328075709779</v>
      </c>
      <c r="AD49" s="129">
        <v>3.91</v>
      </c>
      <c r="AE49" s="129">
        <v>7.58</v>
      </c>
      <c r="AF49" s="177">
        <v>4.9000000000000004</v>
      </c>
      <c r="AG49" s="190">
        <v>14495625</v>
      </c>
      <c r="AH49" s="133">
        <f t="shared" si="23"/>
        <v>3884827.5</v>
      </c>
      <c r="AI49" s="133">
        <f t="shared" si="24"/>
        <v>2431902.0150000001</v>
      </c>
      <c r="AJ49" s="133">
        <f t="shared" si="25"/>
        <v>1083866.8725000001</v>
      </c>
      <c r="AK49" s="191">
        <f t="shared" si="26"/>
        <v>199902.34563300002</v>
      </c>
      <c r="AL49" s="184">
        <v>693908</v>
      </c>
      <c r="AM49" s="133">
        <f t="shared" si="27"/>
        <v>390670.20399999997</v>
      </c>
      <c r="AN49" s="133">
        <f t="shared" si="28"/>
        <v>177364.272616</v>
      </c>
      <c r="AO49" s="133">
        <f t="shared" si="29"/>
        <v>132437.19915599999</v>
      </c>
      <c r="AP49" s="196">
        <f t="shared" si="30"/>
        <v>18445.884352064</v>
      </c>
      <c r="AQ49" s="190">
        <v>275474</v>
      </c>
      <c r="AR49" s="133">
        <f t="shared" si="31"/>
        <v>194209.17</v>
      </c>
      <c r="AS49" s="133">
        <f t="shared" si="32"/>
        <v>89530.427370000019</v>
      </c>
      <c r="AT49" s="133">
        <f t="shared" si="33"/>
        <v>93608.819940000016</v>
      </c>
      <c r="AU49" s="191">
        <f t="shared" si="34"/>
        <v>11280.833848620001</v>
      </c>
      <c r="AV49" s="199">
        <v>209716</v>
      </c>
      <c r="AW49" s="133">
        <f t="shared" si="35"/>
        <v>49492.976000000002</v>
      </c>
      <c r="AX49" s="133">
        <f t="shared" si="36"/>
        <v>25241.41776</v>
      </c>
      <c r="AY49" s="133">
        <f t="shared" si="37"/>
        <v>15689.273392000001</v>
      </c>
      <c r="AZ49" s="141">
        <f t="shared" si="38"/>
        <v>1236.8294702400001</v>
      </c>
    </row>
    <row r="50" spans="1:52" x14ac:dyDescent="0.3">
      <c r="A50" s="114" t="s">
        <v>298</v>
      </c>
      <c r="B50" s="116" t="s">
        <v>251</v>
      </c>
      <c r="C50" s="116" t="s">
        <v>242</v>
      </c>
      <c r="D50" s="72" t="s">
        <v>91</v>
      </c>
      <c r="E50" s="181">
        <v>30.1</v>
      </c>
      <c r="F50" s="129">
        <v>46.6</v>
      </c>
      <c r="G50" s="129">
        <v>45.4</v>
      </c>
      <c r="H50" s="129">
        <f t="shared" si="20"/>
        <v>1.026431718061674</v>
      </c>
      <c r="I50" s="129">
        <v>8.2200000000000006</v>
      </c>
      <c r="J50" s="129">
        <v>21.1</v>
      </c>
      <c r="K50" s="175">
        <v>6.29</v>
      </c>
      <c r="L50" s="171">
        <v>36.1</v>
      </c>
      <c r="M50" s="129">
        <v>47.9</v>
      </c>
      <c r="N50" s="129">
        <v>37.9</v>
      </c>
      <c r="O50" s="129">
        <f t="shared" si="21"/>
        <v>1.2638522427440633</v>
      </c>
      <c r="P50" s="129">
        <v>17.899999999999999</v>
      </c>
      <c r="Q50" s="129">
        <v>15.4</v>
      </c>
      <c r="R50" s="177">
        <v>7.68</v>
      </c>
      <c r="S50" s="181">
        <v>40.6</v>
      </c>
      <c r="T50" s="129">
        <v>44.7</v>
      </c>
      <c r="U50" s="129">
        <v>49</v>
      </c>
      <c r="V50" s="129">
        <f t="shared" si="22"/>
        <v>0.91224489795918373</v>
      </c>
      <c r="W50" s="129">
        <v>15.3</v>
      </c>
      <c r="X50" s="129">
        <v>20.7</v>
      </c>
      <c r="Y50" s="175">
        <v>12.4</v>
      </c>
      <c r="Z50" s="171">
        <v>13.1</v>
      </c>
      <c r="AA50" s="129">
        <v>35.700000000000003</v>
      </c>
      <c r="AB50" s="129">
        <v>51.3</v>
      </c>
      <c r="AC50" s="129">
        <f t="shared" si="39"/>
        <v>0.69590643274853814</v>
      </c>
      <c r="AD50" s="129">
        <v>5</v>
      </c>
      <c r="AE50" s="129">
        <v>7.92</v>
      </c>
      <c r="AF50" s="177">
        <v>2.4500000000000002</v>
      </c>
      <c r="AG50" s="190">
        <v>12068319</v>
      </c>
      <c r="AH50" s="133">
        <f t="shared" si="23"/>
        <v>3632564.0190000003</v>
      </c>
      <c r="AI50" s="133">
        <f t="shared" si="24"/>
        <v>1692774.8328540004</v>
      </c>
      <c r="AJ50" s="133">
        <f t="shared" si="25"/>
        <v>1649184.0646260001</v>
      </c>
      <c r="AK50" s="191">
        <f t="shared" si="26"/>
        <v>106475.53698651661</v>
      </c>
      <c r="AL50" s="184">
        <v>263266</v>
      </c>
      <c r="AM50" s="133">
        <f t="shared" si="27"/>
        <v>95039.025999999998</v>
      </c>
      <c r="AN50" s="133">
        <f t="shared" si="28"/>
        <v>45523.693454</v>
      </c>
      <c r="AO50" s="133">
        <f t="shared" si="29"/>
        <v>36019.790853999999</v>
      </c>
      <c r="AP50" s="196">
        <f t="shared" si="30"/>
        <v>3496.2196572672001</v>
      </c>
      <c r="AQ50" s="190">
        <v>42691</v>
      </c>
      <c r="AR50" s="133">
        <f t="shared" si="31"/>
        <v>17332.546000000002</v>
      </c>
      <c r="AS50" s="133">
        <f t="shared" si="32"/>
        <v>7747.6480620000011</v>
      </c>
      <c r="AT50" s="133">
        <f t="shared" si="33"/>
        <v>8492.947540000001</v>
      </c>
      <c r="AU50" s="191">
        <f t="shared" si="34"/>
        <v>960.7083596880002</v>
      </c>
      <c r="AV50" s="184">
        <v>91551</v>
      </c>
      <c r="AW50" s="133">
        <f t="shared" si="35"/>
        <v>11993.180999999999</v>
      </c>
      <c r="AX50" s="133">
        <f t="shared" si="36"/>
        <v>4281.5656169999993</v>
      </c>
      <c r="AY50" s="133">
        <f t="shared" si="37"/>
        <v>6152.5018529999988</v>
      </c>
      <c r="AZ50" s="141">
        <f t="shared" si="38"/>
        <v>104.89835761649999</v>
      </c>
    </row>
    <row r="51" spans="1:52" x14ac:dyDescent="0.3">
      <c r="A51" s="114" t="s">
        <v>299</v>
      </c>
      <c r="B51" s="116" t="s">
        <v>251</v>
      </c>
      <c r="C51" s="116" t="s">
        <v>242</v>
      </c>
      <c r="D51" s="72" t="s">
        <v>91</v>
      </c>
      <c r="E51" s="181">
        <v>25.6</v>
      </c>
      <c r="F51" s="129">
        <v>49.2</v>
      </c>
      <c r="G51" s="129">
        <v>41.8</v>
      </c>
      <c r="H51" s="129">
        <f t="shared" si="20"/>
        <v>1.1770334928229667</v>
      </c>
      <c r="I51" s="129">
        <v>8.4700000000000006</v>
      </c>
      <c r="J51" s="129">
        <v>18</v>
      </c>
      <c r="K51" s="175">
        <v>5.72</v>
      </c>
      <c r="L51" s="171">
        <v>40.299999999999997</v>
      </c>
      <c r="M51" s="129">
        <v>44.1</v>
      </c>
      <c r="N51" s="129">
        <v>33.4</v>
      </c>
      <c r="O51" s="129">
        <f t="shared" si="21"/>
        <v>1.3203592814371259</v>
      </c>
      <c r="P51" s="129">
        <v>16.2</v>
      </c>
      <c r="Q51" s="129">
        <v>11.5</v>
      </c>
      <c r="R51" s="177">
        <v>7.31</v>
      </c>
      <c r="S51" s="181">
        <v>43.6</v>
      </c>
      <c r="T51" s="129">
        <v>43.9</v>
      </c>
      <c r="U51" s="129">
        <v>48.7</v>
      </c>
      <c r="V51" s="129">
        <f t="shared" si="22"/>
        <v>0.90143737166324422</v>
      </c>
      <c r="W51" s="129">
        <v>18.899999999999999</v>
      </c>
      <c r="X51" s="129">
        <v>23.2</v>
      </c>
      <c r="Y51" s="175">
        <v>14.3</v>
      </c>
      <c r="Z51" s="171">
        <v>27.7</v>
      </c>
      <c r="AA51" s="129">
        <v>43.5</v>
      </c>
      <c r="AB51" s="129">
        <v>43</v>
      </c>
      <c r="AC51" s="129">
        <f t="shared" si="39"/>
        <v>1.0116279069767442</v>
      </c>
      <c r="AD51" s="129">
        <v>6.91</v>
      </c>
      <c r="AE51" s="129">
        <v>12.5</v>
      </c>
      <c r="AF51" s="177">
        <v>4.9800000000000004</v>
      </c>
      <c r="AG51" s="190">
        <v>20392350</v>
      </c>
      <c r="AH51" s="133">
        <f t="shared" si="23"/>
        <v>5220441.5999999996</v>
      </c>
      <c r="AI51" s="133">
        <f t="shared" si="24"/>
        <v>2568457.2672000001</v>
      </c>
      <c r="AJ51" s="133">
        <f t="shared" si="25"/>
        <v>2182144.5887999996</v>
      </c>
      <c r="AK51" s="191">
        <f t="shared" si="26"/>
        <v>146915.75568383999</v>
      </c>
      <c r="AL51" s="184">
        <v>244443</v>
      </c>
      <c r="AM51" s="133">
        <f t="shared" si="27"/>
        <v>98510.52899999998</v>
      </c>
      <c r="AN51" s="133">
        <f t="shared" si="28"/>
        <v>43443.143288999992</v>
      </c>
      <c r="AO51" s="133">
        <f t="shared" si="29"/>
        <v>32902.516685999988</v>
      </c>
      <c r="AP51" s="196">
        <f t="shared" si="30"/>
        <v>3175.6937744258989</v>
      </c>
      <c r="AQ51" s="190">
        <v>225919</v>
      </c>
      <c r="AR51" s="133">
        <f t="shared" si="31"/>
        <v>98500.684000000008</v>
      </c>
      <c r="AS51" s="133">
        <f t="shared" si="32"/>
        <v>43241.800276000009</v>
      </c>
      <c r="AT51" s="133">
        <f t="shared" si="33"/>
        <v>47969.833108000013</v>
      </c>
      <c r="AU51" s="191">
        <f t="shared" si="34"/>
        <v>6183.5774394680011</v>
      </c>
      <c r="AV51" s="184">
        <v>71793</v>
      </c>
      <c r="AW51" s="133">
        <f t="shared" si="35"/>
        <v>19886.661</v>
      </c>
      <c r="AX51" s="133">
        <f t="shared" si="36"/>
        <v>8650.6975349999993</v>
      </c>
      <c r="AY51" s="133">
        <f t="shared" si="37"/>
        <v>8551.2642299999989</v>
      </c>
      <c r="AZ51" s="141">
        <f t="shared" si="38"/>
        <v>430.80473724299998</v>
      </c>
    </row>
    <row r="52" spans="1:52" x14ac:dyDescent="0.3">
      <c r="A52" s="114" t="s">
        <v>291</v>
      </c>
      <c r="B52" s="116" t="s">
        <v>251</v>
      </c>
      <c r="C52" s="116" t="s">
        <v>242</v>
      </c>
      <c r="D52" s="72" t="s">
        <v>334</v>
      </c>
      <c r="E52" s="181">
        <v>25.8</v>
      </c>
      <c r="F52" s="129">
        <v>43.4</v>
      </c>
      <c r="G52" s="129">
        <v>49.4</v>
      </c>
      <c r="H52" s="129">
        <f t="shared" si="20"/>
        <v>0.87854251012145745</v>
      </c>
      <c r="I52" s="129">
        <v>6.64</v>
      </c>
      <c r="J52" s="129">
        <v>20.100000000000001</v>
      </c>
      <c r="K52" s="175">
        <v>4.79</v>
      </c>
      <c r="L52" s="171">
        <v>29.4</v>
      </c>
      <c r="M52" s="129">
        <v>46.9</v>
      </c>
      <c r="N52" s="129">
        <v>46.4</v>
      </c>
      <c r="O52" s="129">
        <f t="shared" si="21"/>
        <v>1.0107758620689655</v>
      </c>
      <c r="P52" s="129">
        <v>24</v>
      </c>
      <c r="Q52" s="129">
        <v>23</v>
      </c>
      <c r="R52" s="177">
        <v>12.3</v>
      </c>
      <c r="S52" s="181">
        <v>50.8</v>
      </c>
      <c r="T52" s="129">
        <v>42.8</v>
      </c>
      <c r="U52" s="129">
        <v>52.7</v>
      </c>
      <c r="V52" s="129">
        <f t="shared" si="22"/>
        <v>0.81214421252371904</v>
      </c>
      <c r="W52" s="129">
        <v>15.1</v>
      </c>
      <c r="X52" s="129">
        <v>19.899999999999999</v>
      </c>
      <c r="Y52" s="175">
        <v>12.7</v>
      </c>
      <c r="Z52" s="171">
        <v>19.5</v>
      </c>
      <c r="AA52" s="129">
        <v>22.4</v>
      </c>
      <c r="AB52" s="129">
        <v>68.599999999999994</v>
      </c>
      <c r="AC52" s="129">
        <f t="shared" si="39"/>
        <v>0.32653061224489799</v>
      </c>
      <c r="AD52" s="129">
        <v>6.89</v>
      </c>
      <c r="AE52" s="129">
        <v>7.55</v>
      </c>
      <c r="AF52" s="177">
        <v>2.86</v>
      </c>
      <c r="AG52" s="190">
        <v>20676578</v>
      </c>
      <c r="AH52" s="133">
        <f t="shared" si="23"/>
        <v>5334557.1240000008</v>
      </c>
      <c r="AI52" s="133">
        <f t="shared" si="24"/>
        <v>2315197.7918160004</v>
      </c>
      <c r="AJ52" s="133">
        <f t="shared" si="25"/>
        <v>2635271.2192560001</v>
      </c>
      <c r="AK52" s="191">
        <f t="shared" si="26"/>
        <v>110897.97422798641</v>
      </c>
      <c r="AL52" s="184">
        <v>729103</v>
      </c>
      <c r="AM52" s="133">
        <f t="shared" si="27"/>
        <v>214356.28200000001</v>
      </c>
      <c r="AN52" s="133">
        <f t="shared" si="28"/>
        <v>100533.09625800001</v>
      </c>
      <c r="AO52" s="133">
        <f t="shared" si="29"/>
        <v>99461.314847999995</v>
      </c>
      <c r="AP52" s="196">
        <f t="shared" si="30"/>
        <v>12365.570839734</v>
      </c>
      <c r="AQ52" s="190">
        <v>246939</v>
      </c>
      <c r="AR52" s="133">
        <f t="shared" si="31"/>
        <v>125445.01199999999</v>
      </c>
      <c r="AS52" s="133">
        <f t="shared" si="32"/>
        <v>53690.465135999992</v>
      </c>
      <c r="AT52" s="133">
        <f t="shared" si="33"/>
        <v>66109.521324000001</v>
      </c>
      <c r="AU52" s="191">
        <f t="shared" si="34"/>
        <v>6818.6890722719991</v>
      </c>
      <c r="AV52" s="184">
        <v>141551</v>
      </c>
      <c r="AW52" s="133">
        <f t="shared" si="35"/>
        <v>27602.445</v>
      </c>
      <c r="AX52" s="133">
        <f t="shared" si="36"/>
        <v>6182.9476799999993</v>
      </c>
      <c r="AY52" s="133">
        <f t="shared" si="37"/>
        <v>18935.277269999999</v>
      </c>
      <c r="AZ52" s="141">
        <f t="shared" si="38"/>
        <v>176.83230364799999</v>
      </c>
    </row>
    <row r="53" spans="1:52" x14ac:dyDescent="0.3">
      <c r="A53" s="114" t="s">
        <v>286</v>
      </c>
      <c r="B53" s="116" t="s">
        <v>251</v>
      </c>
      <c r="C53" s="116" t="s">
        <v>245</v>
      </c>
      <c r="D53" s="72" t="s">
        <v>91</v>
      </c>
      <c r="E53" s="181">
        <v>35.9</v>
      </c>
      <c r="F53" s="129">
        <v>41.3</v>
      </c>
      <c r="G53" s="129">
        <v>50.2</v>
      </c>
      <c r="H53" s="129">
        <f t="shared" si="20"/>
        <v>0.82270916334661348</v>
      </c>
      <c r="I53" s="129">
        <v>9.5500000000000007</v>
      </c>
      <c r="J53" s="129">
        <v>23.8</v>
      </c>
      <c r="K53" s="175">
        <v>8.2200000000000006</v>
      </c>
      <c r="L53" s="171">
        <v>20.5</v>
      </c>
      <c r="M53" s="129">
        <v>58.2</v>
      </c>
      <c r="N53" s="129">
        <v>24.8</v>
      </c>
      <c r="O53" s="129">
        <f t="shared" si="21"/>
        <v>2.346774193548387</v>
      </c>
      <c r="P53" s="129">
        <v>14.9</v>
      </c>
      <c r="Q53" s="129">
        <v>16</v>
      </c>
      <c r="R53" s="177">
        <v>7.19</v>
      </c>
      <c r="S53" s="181">
        <v>37</v>
      </c>
      <c r="T53" s="129">
        <v>48.5</v>
      </c>
      <c r="U53" s="129">
        <v>45.7</v>
      </c>
      <c r="V53" s="129">
        <f t="shared" si="22"/>
        <v>1.0612691466083151</v>
      </c>
      <c r="W53" s="129">
        <v>16.5</v>
      </c>
      <c r="X53" s="129">
        <v>20.2</v>
      </c>
      <c r="Y53" s="175">
        <v>13.3</v>
      </c>
      <c r="Z53" s="171">
        <v>13.9</v>
      </c>
      <c r="AA53" s="129">
        <v>57.8</v>
      </c>
      <c r="AB53" s="129">
        <v>24.9</v>
      </c>
      <c r="AC53" s="129">
        <f t="shared" si="39"/>
        <v>2.321285140562249</v>
      </c>
      <c r="AD53" s="129">
        <v>12.2</v>
      </c>
      <c r="AE53" s="129">
        <v>5.75</v>
      </c>
      <c r="AF53" s="177">
        <v>2.19</v>
      </c>
      <c r="AG53" s="190">
        <v>14598152</v>
      </c>
      <c r="AH53" s="133">
        <f t="shared" si="23"/>
        <v>5240736.568</v>
      </c>
      <c r="AI53" s="133">
        <f t="shared" si="24"/>
        <v>2164424.2025839998</v>
      </c>
      <c r="AJ53" s="133">
        <f t="shared" si="25"/>
        <v>2630849.7571360003</v>
      </c>
      <c r="AK53" s="191">
        <f t="shared" si="26"/>
        <v>177915.66945240478</v>
      </c>
      <c r="AL53" s="184">
        <v>505943</v>
      </c>
      <c r="AM53" s="133">
        <f t="shared" si="27"/>
        <v>103718.315</v>
      </c>
      <c r="AN53" s="133">
        <f t="shared" si="28"/>
        <v>60364.059330000004</v>
      </c>
      <c r="AO53" s="133">
        <f t="shared" si="29"/>
        <v>25722.142120000004</v>
      </c>
      <c r="AP53" s="196">
        <f t="shared" si="30"/>
        <v>4340.1758658270001</v>
      </c>
      <c r="AQ53" s="190">
        <v>352296</v>
      </c>
      <c r="AR53" s="133">
        <f t="shared" si="31"/>
        <v>130349.52</v>
      </c>
      <c r="AS53" s="133">
        <f t="shared" si="32"/>
        <v>63219.517199999995</v>
      </c>
      <c r="AT53" s="133">
        <f t="shared" si="33"/>
        <v>59569.730640000002</v>
      </c>
      <c r="AU53" s="191">
        <f t="shared" si="34"/>
        <v>8408.1957875999997</v>
      </c>
      <c r="AV53" s="184">
        <v>67346</v>
      </c>
      <c r="AW53" s="133">
        <f t="shared" si="35"/>
        <v>9361.094000000001</v>
      </c>
      <c r="AX53" s="133">
        <f t="shared" si="36"/>
        <v>5410.7123320000001</v>
      </c>
      <c r="AY53" s="133">
        <f t="shared" si="37"/>
        <v>2330.9124060000004</v>
      </c>
      <c r="AZ53" s="141">
        <f t="shared" si="38"/>
        <v>118.4946000708</v>
      </c>
    </row>
    <row r="54" spans="1:52" x14ac:dyDescent="0.3">
      <c r="A54" s="114" t="s">
        <v>281</v>
      </c>
      <c r="B54" s="116" t="s">
        <v>251</v>
      </c>
      <c r="C54" s="116" t="s">
        <v>245</v>
      </c>
      <c r="D54" s="72" t="s">
        <v>334</v>
      </c>
      <c r="E54" s="181">
        <v>30.6</v>
      </c>
      <c r="F54" s="129">
        <v>48.2</v>
      </c>
      <c r="G54" s="129">
        <v>42.4</v>
      </c>
      <c r="H54" s="129">
        <f t="shared" si="20"/>
        <v>1.1367924528301887</v>
      </c>
      <c r="I54" s="129">
        <v>3.7</v>
      </c>
      <c r="J54" s="129">
        <v>23</v>
      </c>
      <c r="K54" s="175">
        <v>3.93</v>
      </c>
      <c r="L54" s="171">
        <v>40.5</v>
      </c>
      <c r="M54" s="129">
        <v>44.6</v>
      </c>
      <c r="N54" s="129">
        <v>45.6</v>
      </c>
      <c r="O54" s="129">
        <f t="shared" si="21"/>
        <v>0.97807017543859653</v>
      </c>
      <c r="P54" s="129">
        <v>12.6</v>
      </c>
      <c r="Q54" s="129">
        <v>20.2</v>
      </c>
      <c r="R54" s="177">
        <v>10.3</v>
      </c>
      <c r="S54" s="181">
        <v>28.7</v>
      </c>
      <c r="T54" s="129">
        <v>44.3</v>
      </c>
      <c r="U54" s="129">
        <v>46.3</v>
      </c>
      <c r="V54" s="129">
        <f t="shared" si="22"/>
        <v>0.95680345572354208</v>
      </c>
      <c r="W54" s="129">
        <v>11.6</v>
      </c>
      <c r="X54" s="129">
        <v>20.9</v>
      </c>
      <c r="Y54" s="175">
        <v>17.399999999999999</v>
      </c>
      <c r="Z54" s="171">
        <v>26.9</v>
      </c>
      <c r="AA54" s="129">
        <v>41.8</v>
      </c>
      <c r="AB54" s="129">
        <v>46.3</v>
      </c>
      <c r="AC54" s="129">
        <f t="shared" si="39"/>
        <v>0.90280777537796975</v>
      </c>
      <c r="AD54" s="129">
        <v>3.67</v>
      </c>
      <c r="AE54" s="129">
        <v>6.17</v>
      </c>
      <c r="AF54" s="177">
        <v>3.32</v>
      </c>
      <c r="AG54" s="190">
        <v>23549410</v>
      </c>
      <c r="AH54" s="133">
        <f t="shared" si="23"/>
        <v>7206119.46</v>
      </c>
      <c r="AI54" s="133">
        <f t="shared" si="24"/>
        <v>3473349.5797199998</v>
      </c>
      <c r="AJ54" s="133">
        <f t="shared" si="25"/>
        <v>3055394.6510399999</v>
      </c>
      <c r="AK54" s="191">
        <f t="shared" si="26"/>
        <v>136502.638482996</v>
      </c>
      <c r="AL54" s="184">
        <v>637166</v>
      </c>
      <c r="AM54" s="133">
        <f t="shared" si="27"/>
        <v>258052.23</v>
      </c>
      <c r="AN54" s="133">
        <f t="shared" si="28"/>
        <v>115091.29458</v>
      </c>
      <c r="AO54" s="133">
        <f t="shared" si="29"/>
        <v>117671.81688000001</v>
      </c>
      <c r="AP54" s="196">
        <f t="shared" si="30"/>
        <v>11854.403341740002</v>
      </c>
      <c r="AQ54" s="190">
        <v>348262</v>
      </c>
      <c r="AR54" s="133">
        <f t="shared" si="31"/>
        <v>99951.194000000003</v>
      </c>
      <c r="AS54" s="133">
        <f t="shared" si="32"/>
        <v>44278.378942000003</v>
      </c>
      <c r="AT54" s="133">
        <f t="shared" si="33"/>
        <v>46277.402822000004</v>
      </c>
      <c r="AU54" s="191">
        <f t="shared" si="34"/>
        <v>7704.4379359080003</v>
      </c>
      <c r="AV54" s="184">
        <v>241682</v>
      </c>
      <c r="AW54" s="133">
        <f t="shared" si="35"/>
        <v>65012.457999999999</v>
      </c>
      <c r="AX54" s="133">
        <f t="shared" si="36"/>
        <v>27175.207443999996</v>
      </c>
      <c r="AY54" s="133">
        <f t="shared" si="37"/>
        <v>30100.768054</v>
      </c>
      <c r="AZ54" s="141">
        <f t="shared" si="38"/>
        <v>902.21688714079983</v>
      </c>
    </row>
    <row r="55" spans="1:52" x14ac:dyDescent="0.3">
      <c r="A55" s="114" t="s">
        <v>288</v>
      </c>
      <c r="B55" s="116" t="s">
        <v>251</v>
      </c>
      <c r="C55" s="116" t="s">
        <v>245</v>
      </c>
      <c r="D55" s="72" t="s">
        <v>91</v>
      </c>
      <c r="E55" s="181">
        <v>25.5</v>
      </c>
      <c r="F55" s="129">
        <v>58.9</v>
      </c>
      <c r="G55" s="129">
        <v>32.4</v>
      </c>
      <c r="H55" s="129">
        <f t="shared" si="20"/>
        <v>1.8179012345679013</v>
      </c>
      <c r="I55" s="129">
        <v>8.9600000000000009</v>
      </c>
      <c r="J55" s="129">
        <v>24.4</v>
      </c>
      <c r="K55" s="175">
        <v>8.25</v>
      </c>
      <c r="L55" s="171">
        <v>34.6</v>
      </c>
      <c r="M55" s="129">
        <v>48.9</v>
      </c>
      <c r="N55" s="129">
        <v>40.9</v>
      </c>
      <c r="O55" s="129">
        <f t="shared" si="21"/>
        <v>1.19559902200489</v>
      </c>
      <c r="P55" s="129">
        <v>11.8</v>
      </c>
      <c r="Q55" s="129">
        <v>10</v>
      </c>
      <c r="R55" s="177">
        <v>5.53</v>
      </c>
      <c r="S55" s="181">
        <v>56.2</v>
      </c>
      <c r="T55" s="129">
        <v>43.6</v>
      </c>
      <c r="U55" s="129">
        <v>51.5</v>
      </c>
      <c r="V55" s="129">
        <f t="shared" si="22"/>
        <v>0.84660194174757286</v>
      </c>
      <c r="W55" s="129">
        <v>21</v>
      </c>
      <c r="X55" s="129">
        <v>17.8</v>
      </c>
      <c r="Y55" s="175">
        <v>12.7</v>
      </c>
      <c r="Z55" s="171">
        <v>28.8</v>
      </c>
      <c r="AA55" s="129">
        <v>49.5</v>
      </c>
      <c r="AB55" s="129">
        <v>33.4</v>
      </c>
      <c r="AC55" s="129">
        <f t="shared" si="39"/>
        <v>1.4820359281437125</v>
      </c>
      <c r="AD55" s="129">
        <v>5.2</v>
      </c>
      <c r="AE55" s="129">
        <v>11.7</v>
      </c>
      <c r="AF55" s="177">
        <v>4.0199999999999996</v>
      </c>
      <c r="AG55" s="190">
        <v>16223129</v>
      </c>
      <c r="AH55" s="133">
        <f t="shared" si="23"/>
        <v>4136897.895</v>
      </c>
      <c r="AI55" s="133">
        <f t="shared" si="24"/>
        <v>2436632.8601549999</v>
      </c>
      <c r="AJ55" s="133">
        <f t="shared" si="25"/>
        <v>1340354.9179799999</v>
      </c>
      <c r="AK55" s="191">
        <f t="shared" si="26"/>
        <v>201022.2109627875</v>
      </c>
      <c r="AL55" s="184">
        <v>468693</v>
      </c>
      <c r="AM55" s="133">
        <f t="shared" si="27"/>
        <v>162167.77800000002</v>
      </c>
      <c r="AN55" s="133">
        <f t="shared" si="28"/>
        <v>79300.043442000009</v>
      </c>
      <c r="AO55" s="133">
        <f t="shared" si="29"/>
        <v>66326.621202000009</v>
      </c>
      <c r="AP55" s="196">
        <f t="shared" si="30"/>
        <v>4385.2924023426012</v>
      </c>
      <c r="AQ55" s="190">
        <v>318595</v>
      </c>
      <c r="AR55" s="133">
        <f t="shared" si="31"/>
        <v>179050.39</v>
      </c>
      <c r="AS55" s="133">
        <f t="shared" si="32"/>
        <v>78065.97004</v>
      </c>
      <c r="AT55" s="133">
        <f t="shared" si="33"/>
        <v>92210.950850000008</v>
      </c>
      <c r="AU55" s="191">
        <f t="shared" si="34"/>
        <v>9914.3781950799985</v>
      </c>
      <c r="AV55" s="184">
        <v>116389</v>
      </c>
      <c r="AW55" s="133">
        <f t="shared" si="35"/>
        <v>33520.031999999999</v>
      </c>
      <c r="AX55" s="133">
        <f t="shared" si="36"/>
        <v>16592.415840000001</v>
      </c>
      <c r="AY55" s="133">
        <f t="shared" si="37"/>
        <v>11195.690688000001</v>
      </c>
      <c r="AZ55" s="141">
        <f t="shared" si="38"/>
        <v>667.01511676799998</v>
      </c>
    </row>
    <row r="56" spans="1:52" x14ac:dyDescent="0.3">
      <c r="A56" s="114" t="s">
        <v>289</v>
      </c>
      <c r="B56" s="116" t="s">
        <v>251</v>
      </c>
      <c r="C56" s="116" t="s">
        <v>245</v>
      </c>
      <c r="D56" s="72" t="s">
        <v>91</v>
      </c>
      <c r="E56" s="181">
        <v>29.6</v>
      </c>
      <c r="F56" s="129">
        <v>55.5</v>
      </c>
      <c r="G56" s="129">
        <v>27.9</v>
      </c>
      <c r="H56" s="129">
        <f t="shared" si="20"/>
        <v>1.989247311827957</v>
      </c>
      <c r="I56" s="129">
        <v>6.67</v>
      </c>
      <c r="J56" s="129">
        <v>25.2</v>
      </c>
      <c r="K56" s="175">
        <v>7.08</v>
      </c>
      <c r="L56" s="171">
        <v>24.6</v>
      </c>
      <c r="M56" s="129">
        <v>50.9</v>
      </c>
      <c r="N56" s="129">
        <v>39.1</v>
      </c>
      <c r="O56" s="129">
        <f t="shared" si="21"/>
        <v>1.3017902813299231</v>
      </c>
      <c r="P56" s="129">
        <v>10.9</v>
      </c>
      <c r="Q56" s="129">
        <v>13.3</v>
      </c>
      <c r="R56" s="177">
        <v>7.76</v>
      </c>
      <c r="S56" s="181">
        <v>37.200000000000003</v>
      </c>
      <c r="T56" s="129">
        <v>40.4</v>
      </c>
      <c r="U56" s="129">
        <v>49.8</v>
      </c>
      <c r="V56" s="129">
        <f t="shared" si="22"/>
        <v>0.8112449799196787</v>
      </c>
      <c r="W56" s="129">
        <v>15.2</v>
      </c>
      <c r="X56" s="129">
        <v>21.9</v>
      </c>
      <c r="Y56" s="175">
        <v>10.4</v>
      </c>
      <c r="Z56" s="171">
        <v>14.7</v>
      </c>
      <c r="AA56" s="129">
        <v>47.1</v>
      </c>
      <c r="AB56" s="129">
        <v>42.8</v>
      </c>
      <c r="AC56" s="129">
        <f t="shared" si="39"/>
        <v>1.1004672897196264</v>
      </c>
      <c r="AD56" s="129">
        <v>6.62</v>
      </c>
      <c r="AE56" s="129">
        <v>7.01</v>
      </c>
      <c r="AF56" s="177">
        <v>2.63</v>
      </c>
      <c r="AG56" s="190">
        <v>18967126</v>
      </c>
      <c r="AH56" s="133">
        <f t="shared" si="23"/>
        <v>5614269.2960000001</v>
      </c>
      <c r="AI56" s="133">
        <f t="shared" si="24"/>
        <v>3115919.4592800005</v>
      </c>
      <c r="AJ56" s="133">
        <f t="shared" si="25"/>
        <v>1566381.1335839999</v>
      </c>
      <c r="AK56" s="191">
        <f t="shared" si="26"/>
        <v>220607.09771702404</v>
      </c>
      <c r="AL56" s="184">
        <v>579676</v>
      </c>
      <c r="AM56" s="133">
        <f t="shared" si="27"/>
        <v>142600.296</v>
      </c>
      <c r="AN56" s="133">
        <f t="shared" si="28"/>
        <v>72583.550663999995</v>
      </c>
      <c r="AO56" s="133">
        <f t="shared" si="29"/>
        <v>55756.715736000006</v>
      </c>
      <c r="AP56" s="196">
        <f t="shared" si="30"/>
        <v>5632.483531526399</v>
      </c>
      <c r="AQ56" s="190">
        <v>757963</v>
      </c>
      <c r="AR56" s="133">
        <f t="shared" si="31"/>
        <v>281962.23600000003</v>
      </c>
      <c r="AS56" s="133">
        <f t="shared" si="32"/>
        <v>113912.743344</v>
      </c>
      <c r="AT56" s="133">
        <f t="shared" si="33"/>
        <v>140417.193528</v>
      </c>
      <c r="AU56" s="191">
        <f t="shared" si="34"/>
        <v>11846.925307776</v>
      </c>
      <c r="AV56" s="184">
        <v>80526</v>
      </c>
      <c r="AW56" s="133">
        <f t="shared" si="35"/>
        <v>11837.322</v>
      </c>
      <c r="AX56" s="133">
        <f t="shared" si="36"/>
        <v>5575.3786620000001</v>
      </c>
      <c r="AY56" s="133">
        <f t="shared" si="37"/>
        <v>5066.3738159999994</v>
      </c>
      <c r="AZ56" s="141">
        <f t="shared" si="38"/>
        <v>146.63245881060001</v>
      </c>
    </row>
    <row r="57" spans="1:52" x14ac:dyDescent="0.3">
      <c r="A57" s="114" t="s">
        <v>282</v>
      </c>
      <c r="B57" s="116" t="s">
        <v>251</v>
      </c>
      <c r="C57" s="116" t="s">
        <v>245</v>
      </c>
      <c r="D57" s="72" t="s">
        <v>334</v>
      </c>
      <c r="E57" s="181">
        <v>27.6</v>
      </c>
      <c r="F57" s="129">
        <v>55</v>
      </c>
      <c r="G57" s="129">
        <v>34.9</v>
      </c>
      <c r="H57" s="129">
        <f t="shared" si="20"/>
        <v>1.5759312320916905</v>
      </c>
      <c r="I57" s="129">
        <v>9.6300000000000008</v>
      </c>
      <c r="J57" s="129">
        <v>23.9</v>
      </c>
      <c r="K57" s="175">
        <v>6.41</v>
      </c>
      <c r="L57" s="171">
        <v>33.1</v>
      </c>
      <c r="M57" s="129">
        <v>54.8</v>
      </c>
      <c r="N57" s="129">
        <v>33.6</v>
      </c>
      <c r="O57" s="129">
        <f t="shared" si="21"/>
        <v>1.6309523809523807</v>
      </c>
      <c r="P57" s="129">
        <v>11.3</v>
      </c>
      <c r="Q57" s="129">
        <v>4.53</v>
      </c>
      <c r="R57" s="177">
        <v>2.3199999999999998</v>
      </c>
      <c r="S57" s="181">
        <v>26.7</v>
      </c>
      <c r="T57" s="129">
        <v>46.9</v>
      </c>
      <c r="U57" s="129">
        <v>44.6</v>
      </c>
      <c r="V57" s="129">
        <f t="shared" si="22"/>
        <v>1.0515695067264574</v>
      </c>
      <c r="W57" s="129">
        <v>14.2</v>
      </c>
      <c r="X57" s="129">
        <v>18.399999999999999</v>
      </c>
      <c r="Y57" s="175">
        <v>12.4</v>
      </c>
      <c r="Z57" s="171">
        <v>17.899999999999999</v>
      </c>
      <c r="AA57" s="129">
        <v>37.700000000000003</v>
      </c>
      <c r="AB57" s="129">
        <v>51.4</v>
      </c>
      <c r="AC57" s="129">
        <f t="shared" si="39"/>
        <v>0.73346303501945531</v>
      </c>
      <c r="AD57" s="129">
        <v>3.88</v>
      </c>
      <c r="AE57" s="129">
        <v>10.7</v>
      </c>
      <c r="AF57" s="177">
        <v>4.43</v>
      </c>
      <c r="AG57" s="190">
        <v>16021653</v>
      </c>
      <c r="AH57" s="133">
        <f t="shared" si="23"/>
        <v>4421976.2280000001</v>
      </c>
      <c r="AI57" s="133">
        <f t="shared" si="24"/>
        <v>2432086.9254000001</v>
      </c>
      <c r="AJ57" s="133">
        <f t="shared" si="25"/>
        <v>1543269.7035719999</v>
      </c>
      <c r="AK57" s="191">
        <f t="shared" si="26"/>
        <v>155896.77191814</v>
      </c>
      <c r="AL57" s="184">
        <f>594326*(10400/10800)</f>
        <v>572313.92592592584</v>
      </c>
      <c r="AM57" s="133">
        <f t="shared" si="27"/>
        <v>189435.90948148147</v>
      </c>
      <c r="AN57" s="133">
        <f t="shared" si="28"/>
        <v>103810.87839585185</v>
      </c>
      <c r="AO57" s="133">
        <f t="shared" si="29"/>
        <v>63650.465585777776</v>
      </c>
      <c r="AP57" s="196">
        <f t="shared" si="30"/>
        <v>2408.4123787837625</v>
      </c>
      <c r="AQ57" s="190">
        <f>336062*(10400/10800)</f>
        <v>323615.25925925927</v>
      </c>
      <c r="AR57" s="133">
        <f t="shared" si="31"/>
        <v>86405.27422222223</v>
      </c>
      <c r="AS57" s="133">
        <f t="shared" si="32"/>
        <v>40524.073610222222</v>
      </c>
      <c r="AT57" s="133">
        <f t="shared" si="33"/>
        <v>38536.752303111112</v>
      </c>
      <c r="AU57" s="191">
        <f t="shared" si="34"/>
        <v>5024.9851276675554</v>
      </c>
      <c r="AV57" s="184">
        <f>192934*(10400/10800)</f>
        <v>185788.29629629629</v>
      </c>
      <c r="AW57" s="133">
        <f t="shared" si="35"/>
        <v>33256.105037037029</v>
      </c>
      <c r="AX57" s="133">
        <f t="shared" si="36"/>
        <v>12537.55159896296</v>
      </c>
      <c r="AY57" s="133">
        <f t="shared" si="37"/>
        <v>17093.637989037034</v>
      </c>
      <c r="AZ57" s="141">
        <f t="shared" si="38"/>
        <v>555.41353583405908</v>
      </c>
    </row>
    <row r="58" spans="1:52" x14ac:dyDescent="0.3">
      <c r="A58" s="114" t="s">
        <v>283</v>
      </c>
      <c r="B58" s="116" t="s">
        <v>251</v>
      </c>
      <c r="C58" s="116" t="s">
        <v>245</v>
      </c>
      <c r="D58" s="72" t="s">
        <v>334</v>
      </c>
      <c r="E58" s="181">
        <v>23</v>
      </c>
      <c r="F58" s="129">
        <v>54.6</v>
      </c>
      <c r="G58" s="129">
        <v>33.9</v>
      </c>
      <c r="H58" s="129">
        <f t="shared" si="20"/>
        <v>1.6106194690265487</v>
      </c>
      <c r="I58" s="129">
        <v>10.3</v>
      </c>
      <c r="J58" s="129">
        <v>24.7</v>
      </c>
      <c r="K58" s="175">
        <v>7.29</v>
      </c>
      <c r="L58" s="171">
        <v>30.9</v>
      </c>
      <c r="M58" s="129">
        <v>42.6</v>
      </c>
      <c r="N58" s="129">
        <v>45.4</v>
      </c>
      <c r="O58" s="129">
        <f t="shared" si="21"/>
        <v>0.93832599118942739</v>
      </c>
      <c r="P58" s="129">
        <v>18.7</v>
      </c>
      <c r="Q58" s="129">
        <v>16.7</v>
      </c>
      <c r="R58" s="177">
        <v>10.9</v>
      </c>
      <c r="S58" s="181">
        <v>32.200000000000003</v>
      </c>
      <c r="T58" s="129">
        <v>39.9</v>
      </c>
      <c r="U58" s="129">
        <v>49.9</v>
      </c>
      <c r="V58" s="129">
        <f t="shared" si="22"/>
        <v>0.79959919839679361</v>
      </c>
      <c r="W58" s="129">
        <v>18.8</v>
      </c>
      <c r="X58" s="129">
        <v>13.4</v>
      </c>
      <c r="Y58" s="175">
        <v>11.9</v>
      </c>
      <c r="Z58" s="171">
        <v>19.899999999999999</v>
      </c>
      <c r="AA58" s="129">
        <v>44.6</v>
      </c>
      <c r="AB58" s="129">
        <v>44.9</v>
      </c>
      <c r="AC58" s="129">
        <f t="shared" si="39"/>
        <v>0.99331848552338531</v>
      </c>
      <c r="AD58" s="129">
        <v>5.67</v>
      </c>
      <c r="AE58" s="129">
        <v>10.6</v>
      </c>
      <c r="AF58" s="177">
        <v>4.82</v>
      </c>
      <c r="AG58" s="190">
        <f>24504043*(10400/10800)</f>
        <v>23596485.851851851</v>
      </c>
      <c r="AH58" s="133">
        <f t="shared" si="23"/>
        <v>5427191.7459259257</v>
      </c>
      <c r="AI58" s="133">
        <f t="shared" si="24"/>
        <v>2963246.6932755555</v>
      </c>
      <c r="AJ58" s="133">
        <f t="shared" si="25"/>
        <v>1839818.0018688887</v>
      </c>
      <c r="AK58" s="191">
        <f t="shared" si="26"/>
        <v>216020.683939788</v>
      </c>
      <c r="AL58" s="184">
        <f>633979*(10400/10800)</f>
        <v>610498.29629629629</v>
      </c>
      <c r="AM58" s="133">
        <f t="shared" si="27"/>
        <v>188643.97355555554</v>
      </c>
      <c r="AN58" s="133">
        <f t="shared" si="28"/>
        <v>80362.332734666663</v>
      </c>
      <c r="AO58" s="133">
        <f t="shared" si="29"/>
        <v>85644.363994222207</v>
      </c>
      <c r="AP58" s="196">
        <f t="shared" si="30"/>
        <v>8759.4942680786662</v>
      </c>
      <c r="AQ58" s="190">
        <v>255869</v>
      </c>
      <c r="AR58" s="133">
        <f t="shared" si="31"/>
        <v>82389.818000000014</v>
      </c>
      <c r="AS58" s="133">
        <f t="shared" si="32"/>
        <v>32873.537382000002</v>
      </c>
      <c r="AT58" s="133">
        <f t="shared" si="33"/>
        <v>41112.519182000004</v>
      </c>
      <c r="AU58" s="191">
        <f t="shared" si="34"/>
        <v>3911.9509484580003</v>
      </c>
      <c r="AV58" s="184">
        <f>121312*(10400/10800)</f>
        <v>116818.96296296296</v>
      </c>
      <c r="AW58" s="133">
        <f t="shared" si="35"/>
        <v>23246.973629629625</v>
      </c>
      <c r="AX58" s="133">
        <f t="shared" si="36"/>
        <v>10368.150238814813</v>
      </c>
      <c r="AY58" s="133">
        <f t="shared" si="37"/>
        <v>10437.8911597037</v>
      </c>
      <c r="AZ58" s="141">
        <f t="shared" si="38"/>
        <v>499.74484151087404</v>
      </c>
    </row>
    <row r="59" spans="1:52" x14ac:dyDescent="0.3">
      <c r="A59" s="114" t="s">
        <v>290</v>
      </c>
      <c r="B59" s="116" t="s">
        <v>251</v>
      </c>
      <c r="C59" s="116" t="s">
        <v>245</v>
      </c>
      <c r="D59" s="72" t="s">
        <v>91</v>
      </c>
      <c r="E59" s="181">
        <v>30.2</v>
      </c>
      <c r="F59" s="129">
        <v>61.6</v>
      </c>
      <c r="G59" s="129">
        <v>27.8</v>
      </c>
      <c r="H59" s="129">
        <f t="shared" si="20"/>
        <v>2.2158273381294964</v>
      </c>
      <c r="I59" s="129">
        <v>10.5</v>
      </c>
      <c r="J59" s="129">
        <v>29</v>
      </c>
      <c r="K59" s="175">
        <v>10.199999999999999</v>
      </c>
      <c r="L59" s="171">
        <v>35.200000000000003</v>
      </c>
      <c r="M59" s="129">
        <v>50.2</v>
      </c>
      <c r="N59" s="129">
        <v>44.1</v>
      </c>
      <c r="O59" s="129">
        <f t="shared" si="21"/>
        <v>1.1383219954648527</v>
      </c>
      <c r="P59" s="129">
        <v>18.600000000000001</v>
      </c>
      <c r="Q59" s="129">
        <v>17.399999999999999</v>
      </c>
      <c r="R59" s="177">
        <v>11.8</v>
      </c>
      <c r="S59" s="181">
        <v>45.1</v>
      </c>
      <c r="T59" s="129">
        <v>47.8</v>
      </c>
      <c r="U59" s="129">
        <v>45.2</v>
      </c>
      <c r="V59" s="129">
        <f t="shared" si="22"/>
        <v>1.0575221238938053</v>
      </c>
      <c r="W59" s="129">
        <v>21</v>
      </c>
      <c r="X59" s="129">
        <v>24.8</v>
      </c>
      <c r="Y59" s="175">
        <v>14.3</v>
      </c>
      <c r="Z59" s="171">
        <v>32.9</v>
      </c>
      <c r="AA59" s="129">
        <v>50.6</v>
      </c>
      <c r="AB59" s="129">
        <v>40.700000000000003</v>
      </c>
      <c r="AC59" s="129">
        <f t="shared" si="39"/>
        <v>1.2432432432432432</v>
      </c>
      <c r="AD59" s="129">
        <v>14.4</v>
      </c>
      <c r="AE59" s="129">
        <v>20.399999999999999</v>
      </c>
      <c r="AF59" s="177">
        <v>7.28</v>
      </c>
      <c r="AG59" s="190">
        <v>18697175</v>
      </c>
      <c r="AH59" s="133">
        <f t="shared" si="23"/>
        <v>5646546.8499999996</v>
      </c>
      <c r="AI59" s="133">
        <f t="shared" si="24"/>
        <v>3478272.8595999996</v>
      </c>
      <c r="AJ59" s="133">
        <f t="shared" si="25"/>
        <v>1569740.0243000002</v>
      </c>
      <c r="AK59" s="191">
        <f t="shared" si="26"/>
        <v>354783.83167919994</v>
      </c>
      <c r="AL59" s="184">
        <v>607447</v>
      </c>
      <c r="AM59" s="133">
        <f t="shared" si="27"/>
        <v>213821.34400000001</v>
      </c>
      <c r="AN59" s="133">
        <f t="shared" si="28"/>
        <v>107338.31468800001</v>
      </c>
      <c r="AO59" s="133">
        <f t="shared" si="29"/>
        <v>94295.212704000005</v>
      </c>
      <c r="AP59" s="196">
        <f t="shared" si="30"/>
        <v>12665.921133184002</v>
      </c>
      <c r="AQ59" s="190">
        <v>393249</v>
      </c>
      <c r="AR59" s="133">
        <f t="shared" si="31"/>
        <v>177355.29900000003</v>
      </c>
      <c r="AS59" s="133">
        <f t="shared" si="32"/>
        <v>84775.832922000016</v>
      </c>
      <c r="AT59" s="133">
        <f t="shared" si="33"/>
        <v>80164.595148000022</v>
      </c>
      <c r="AU59" s="191">
        <f t="shared" si="34"/>
        <v>12122.944107846002</v>
      </c>
      <c r="AV59" s="184">
        <v>29718</v>
      </c>
      <c r="AW59" s="133">
        <f t="shared" si="35"/>
        <v>9777.2219999999998</v>
      </c>
      <c r="AX59" s="133">
        <f t="shared" si="36"/>
        <v>4947.274332</v>
      </c>
      <c r="AY59" s="133">
        <f t="shared" si="37"/>
        <v>3979.329354</v>
      </c>
      <c r="AZ59" s="141">
        <f t="shared" si="38"/>
        <v>360.16157136959998</v>
      </c>
    </row>
    <row r="60" spans="1:52" x14ac:dyDescent="0.3">
      <c r="A60" s="114" t="s">
        <v>284</v>
      </c>
      <c r="B60" s="116" t="s">
        <v>251</v>
      </c>
      <c r="C60" s="116" t="s">
        <v>245</v>
      </c>
      <c r="D60" s="72" t="s">
        <v>334</v>
      </c>
      <c r="E60" s="181">
        <v>28.9</v>
      </c>
      <c r="F60" s="129">
        <v>54.3</v>
      </c>
      <c r="G60" s="129">
        <v>36</v>
      </c>
      <c r="H60" s="129">
        <f t="shared" si="20"/>
        <v>1.5083333333333333</v>
      </c>
      <c r="I60" s="129">
        <v>8.5500000000000007</v>
      </c>
      <c r="J60" s="129">
        <v>15.8</v>
      </c>
      <c r="K60" s="175">
        <v>6.26</v>
      </c>
      <c r="L60" s="171">
        <v>48.8</v>
      </c>
      <c r="M60" s="129">
        <v>55.5</v>
      </c>
      <c r="N60" s="129">
        <v>35.799999999999997</v>
      </c>
      <c r="O60" s="129">
        <f t="shared" si="21"/>
        <v>1.5502793296089388</v>
      </c>
      <c r="P60" s="129">
        <v>9.33</v>
      </c>
      <c r="Q60" s="129">
        <v>8.6300000000000008</v>
      </c>
      <c r="R60" s="177">
        <v>6.31</v>
      </c>
      <c r="S60" s="181">
        <v>38.9</v>
      </c>
      <c r="T60" s="129">
        <v>52.4</v>
      </c>
      <c r="U60" s="129">
        <v>35.4</v>
      </c>
      <c r="V60" s="129">
        <f t="shared" si="22"/>
        <v>1.4802259887005651</v>
      </c>
      <c r="W60" s="129">
        <v>15.6</v>
      </c>
      <c r="X60" s="129">
        <v>11.9</v>
      </c>
      <c r="Y60" s="175">
        <v>7.42</v>
      </c>
      <c r="Z60" s="171">
        <v>30.8</v>
      </c>
      <c r="AA60" s="129">
        <v>42.9</v>
      </c>
      <c r="AB60" s="129">
        <v>47.9</v>
      </c>
      <c r="AC60" s="129">
        <f t="shared" si="39"/>
        <v>0.89561586638830892</v>
      </c>
      <c r="AD60" s="129">
        <v>5.25</v>
      </c>
      <c r="AE60" s="129">
        <v>10.4</v>
      </c>
      <c r="AF60" s="177">
        <v>4.79</v>
      </c>
      <c r="AG60" s="190">
        <v>13032273</v>
      </c>
      <c r="AH60" s="133">
        <f t="shared" si="23"/>
        <v>3766326.8969999999</v>
      </c>
      <c r="AI60" s="133">
        <f t="shared" si="24"/>
        <v>2045115.505071</v>
      </c>
      <c r="AJ60" s="133">
        <f t="shared" si="25"/>
        <v>1355877.6829200001</v>
      </c>
      <c r="AK60" s="191">
        <f t="shared" si="26"/>
        <v>128024.23061744458</v>
      </c>
      <c r="AL60" s="184">
        <v>443861</v>
      </c>
      <c r="AM60" s="133">
        <f t="shared" si="27"/>
        <v>216604.16799999998</v>
      </c>
      <c r="AN60" s="133">
        <f t="shared" si="28"/>
        <v>120215.31323999999</v>
      </c>
      <c r="AO60" s="133">
        <f t="shared" si="29"/>
        <v>77544.292143999977</v>
      </c>
      <c r="AP60" s="196">
        <f t="shared" si="30"/>
        <v>7585.5862654439989</v>
      </c>
      <c r="AQ60" s="190">
        <v>288138</v>
      </c>
      <c r="AR60" s="133">
        <f t="shared" si="31"/>
        <v>112085.68199999999</v>
      </c>
      <c r="AS60" s="133">
        <f t="shared" si="32"/>
        <v>58732.897367999991</v>
      </c>
      <c r="AT60" s="133">
        <f t="shared" si="33"/>
        <v>39678.331427999998</v>
      </c>
      <c r="AU60" s="191">
        <f t="shared" si="34"/>
        <v>4357.9809847055994</v>
      </c>
      <c r="AV60" s="184">
        <v>177148</v>
      </c>
      <c r="AW60" s="133">
        <f t="shared" si="35"/>
        <v>54561.584000000003</v>
      </c>
      <c r="AX60" s="133">
        <f t="shared" si="36"/>
        <v>23406.919536000001</v>
      </c>
      <c r="AY60" s="133">
        <f t="shared" si="37"/>
        <v>26134.998736000001</v>
      </c>
      <c r="AZ60" s="141">
        <f t="shared" si="38"/>
        <v>1121.1914457744001</v>
      </c>
    </row>
    <row r="61" spans="1:52" x14ac:dyDescent="0.3">
      <c r="A61" s="114" t="s">
        <v>293</v>
      </c>
      <c r="B61" s="116" t="s">
        <v>251</v>
      </c>
      <c r="C61" s="116" t="s">
        <v>245</v>
      </c>
      <c r="D61" s="72" t="s">
        <v>91</v>
      </c>
      <c r="E61" s="181">
        <v>27</v>
      </c>
      <c r="F61" s="129">
        <v>61</v>
      </c>
      <c r="G61" s="129">
        <v>29.9</v>
      </c>
      <c r="H61" s="129">
        <f t="shared" si="20"/>
        <v>2.040133779264214</v>
      </c>
      <c r="I61" s="129">
        <v>7.03</v>
      </c>
      <c r="J61" s="129">
        <v>19.7</v>
      </c>
      <c r="K61" s="175">
        <v>7.26</v>
      </c>
      <c r="L61" s="171">
        <v>34.1</v>
      </c>
      <c r="M61" s="129">
        <v>60.1</v>
      </c>
      <c r="N61" s="129">
        <v>35.6</v>
      </c>
      <c r="O61" s="129">
        <f t="shared" si="21"/>
        <v>1.6882022471910112</v>
      </c>
      <c r="P61" s="129">
        <v>9.81</v>
      </c>
      <c r="Q61" s="129">
        <v>7.3</v>
      </c>
      <c r="R61" s="177">
        <v>3.3</v>
      </c>
      <c r="S61" s="181">
        <v>36.799999999999997</v>
      </c>
      <c r="T61" s="129">
        <v>47.1</v>
      </c>
      <c r="U61" s="129">
        <v>44.9</v>
      </c>
      <c r="V61" s="129">
        <f t="shared" si="22"/>
        <v>1.0489977728285078</v>
      </c>
      <c r="W61" s="129">
        <v>25.3</v>
      </c>
      <c r="X61" s="129">
        <v>31.5</v>
      </c>
      <c r="Y61" s="175">
        <v>21</v>
      </c>
      <c r="Z61" s="171">
        <v>8.7799999999999994</v>
      </c>
      <c r="AA61" s="129">
        <v>46.3</v>
      </c>
      <c r="AB61" s="129">
        <v>41.9</v>
      </c>
      <c r="AC61" s="129">
        <f t="shared" si="39"/>
        <v>1.1050119331742243</v>
      </c>
      <c r="AD61" s="129">
        <v>7.17</v>
      </c>
      <c r="AE61" s="129">
        <v>10</v>
      </c>
      <c r="AF61" s="177">
        <v>3.03</v>
      </c>
      <c r="AG61" s="190">
        <v>20112686</v>
      </c>
      <c r="AH61" s="133">
        <f t="shared" si="23"/>
        <v>5430425.2199999997</v>
      </c>
      <c r="AI61" s="133">
        <f t="shared" si="24"/>
        <v>3312559.3841999997</v>
      </c>
      <c r="AJ61" s="133">
        <f t="shared" si="25"/>
        <v>1623697.1407799998</v>
      </c>
      <c r="AK61" s="191">
        <f t="shared" si="26"/>
        <v>240491.81129291997</v>
      </c>
      <c r="AL61" s="184">
        <v>454745</v>
      </c>
      <c r="AM61" s="133">
        <f t="shared" si="27"/>
        <v>155068.04500000001</v>
      </c>
      <c r="AN61" s="133">
        <f t="shared" si="28"/>
        <v>93195.895045000012</v>
      </c>
      <c r="AO61" s="133">
        <f t="shared" si="29"/>
        <v>55204.224020000009</v>
      </c>
      <c r="AP61" s="196">
        <f t="shared" si="30"/>
        <v>3075.4645364850003</v>
      </c>
      <c r="AQ61" s="190">
        <v>425715</v>
      </c>
      <c r="AR61" s="133">
        <f t="shared" si="31"/>
        <v>156663.12</v>
      </c>
      <c r="AS61" s="133">
        <f t="shared" si="32"/>
        <v>73788.329519999999</v>
      </c>
      <c r="AT61" s="133">
        <f t="shared" si="33"/>
        <v>70341.740879999998</v>
      </c>
      <c r="AU61" s="191">
        <f t="shared" si="34"/>
        <v>15495.549199200001</v>
      </c>
      <c r="AV61" s="184">
        <v>114138</v>
      </c>
      <c r="AW61" s="133">
        <f t="shared" si="35"/>
        <v>10021.3164</v>
      </c>
      <c r="AX61" s="133">
        <f t="shared" si="36"/>
        <v>4639.8694931999999</v>
      </c>
      <c r="AY61" s="133">
        <f t="shared" si="37"/>
        <v>4198.9315715999992</v>
      </c>
      <c r="AZ61" s="141">
        <f t="shared" si="38"/>
        <v>140.58804564395999</v>
      </c>
    </row>
    <row r="62" spans="1:52" x14ac:dyDescent="0.3">
      <c r="A62" s="114" t="s">
        <v>294</v>
      </c>
      <c r="B62" s="116" t="s">
        <v>251</v>
      </c>
      <c r="C62" s="116" t="s">
        <v>245</v>
      </c>
      <c r="D62" s="72" t="s">
        <v>91</v>
      </c>
      <c r="E62" s="181">
        <v>24.2</v>
      </c>
      <c r="F62" s="129">
        <v>55.4</v>
      </c>
      <c r="G62" s="129">
        <v>35</v>
      </c>
      <c r="H62" s="129">
        <f t="shared" si="20"/>
        <v>1.5828571428571427</v>
      </c>
      <c r="I62" s="129">
        <v>8.27</v>
      </c>
      <c r="J62" s="129">
        <v>26.8</v>
      </c>
      <c r="K62" s="175">
        <v>6.57</v>
      </c>
      <c r="L62" s="171">
        <v>24.9</v>
      </c>
      <c r="M62" s="129">
        <v>57.2</v>
      </c>
      <c r="N62" s="129">
        <v>38.299999999999997</v>
      </c>
      <c r="O62" s="129">
        <f t="shared" si="21"/>
        <v>1.493472584856397</v>
      </c>
      <c r="P62" s="129">
        <v>19.100000000000001</v>
      </c>
      <c r="Q62" s="129">
        <v>11.9</v>
      </c>
      <c r="R62" s="177">
        <v>6.83</v>
      </c>
      <c r="S62" s="181">
        <v>23.3</v>
      </c>
      <c r="T62" s="129">
        <v>49.1</v>
      </c>
      <c r="U62" s="129">
        <v>42.5</v>
      </c>
      <c r="V62" s="129">
        <f t="shared" si="22"/>
        <v>1.1552941176470588</v>
      </c>
      <c r="W62" s="129">
        <v>21.4</v>
      </c>
      <c r="X62" s="129">
        <v>27.9</v>
      </c>
      <c r="Y62" s="175">
        <v>16.5</v>
      </c>
      <c r="Z62" s="171">
        <v>12.7</v>
      </c>
      <c r="AA62" s="129">
        <v>39.799999999999997</v>
      </c>
      <c r="AB62" s="129">
        <v>46.7</v>
      </c>
      <c r="AC62" s="129">
        <f t="shared" si="39"/>
        <v>0.85224839400428254</v>
      </c>
      <c r="AD62" s="129">
        <v>9.08</v>
      </c>
      <c r="AE62" s="129">
        <v>15.1</v>
      </c>
      <c r="AF62" s="177">
        <v>4.7</v>
      </c>
      <c r="AG62" s="190">
        <v>10755607</v>
      </c>
      <c r="AH62" s="133">
        <f t="shared" si="23"/>
        <v>2602856.8939999999</v>
      </c>
      <c r="AI62" s="133">
        <f t="shared" si="24"/>
        <v>1441982.719276</v>
      </c>
      <c r="AJ62" s="133">
        <f t="shared" si="25"/>
        <v>910999.91289999988</v>
      </c>
      <c r="AK62" s="191">
        <f t="shared" si="26"/>
        <v>94738.264656433195</v>
      </c>
      <c r="AL62" s="184">
        <v>508014</v>
      </c>
      <c r="AM62" s="133">
        <f t="shared" si="27"/>
        <v>126495.48599999999</v>
      </c>
      <c r="AN62" s="133">
        <f t="shared" si="28"/>
        <v>72355.417992000002</v>
      </c>
      <c r="AO62" s="133">
        <f t="shared" si="29"/>
        <v>48447.771137999996</v>
      </c>
      <c r="AP62" s="196">
        <f t="shared" si="30"/>
        <v>4941.8750488535998</v>
      </c>
      <c r="AQ62" s="190">
        <v>650286</v>
      </c>
      <c r="AR62" s="133">
        <f t="shared" si="31"/>
        <v>151516.63800000001</v>
      </c>
      <c r="AS62" s="133">
        <f t="shared" si="32"/>
        <v>74394.669258000009</v>
      </c>
      <c r="AT62" s="133">
        <f t="shared" si="33"/>
        <v>64394.571150000003</v>
      </c>
      <c r="AU62" s="191">
        <f t="shared" si="34"/>
        <v>12275.12042757</v>
      </c>
      <c r="AV62" s="184">
        <v>91536</v>
      </c>
      <c r="AW62" s="133">
        <f t="shared" si="35"/>
        <v>11625.072</v>
      </c>
      <c r="AX62" s="133">
        <f t="shared" si="36"/>
        <v>4626.7786559999995</v>
      </c>
      <c r="AY62" s="133">
        <f t="shared" si="37"/>
        <v>5428.9086239999997</v>
      </c>
      <c r="AZ62" s="141">
        <f t="shared" si="38"/>
        <v>217.45859683200001</v>
      </c>
    </row>
    <row r="63" spans="1:52" x14ac:dyDescent="0.3">
      <c r="A63" s="114" t="s">
        <v>295</v>
      </c>
      <c r="B63" s="116" t="s">
        <v>251</v>
      </c>
      <c r="C63" s="116" t="s">
        <v>245</v>
      </c>
      <c r="D63" s="72" t="s">
        <v>91</v>
      </c>
      <c r="E63" s="181">
        <v>26.4</v>
      </c>
      <c r="F63" s="129">
        <v>58.1</v>
      </c>
      <c r="G63" s="129">
        <v>32</v>
      </c>
      <c r="H63" s="129">
        <f t="shared" si="20"/>
        <v>1.815625</v>
      </c>
      <c r="I63" s="129">
        <v>6.75</v>
      </c>
      <c r="J63" s="129">
        <v>27.3</v>
      </c>
      <c r="K63" s="175">
        <v>5.92</v>
      </c>
      <c r="L63" s="171">
        <v>29.7</v>
      </c>
      <c r="M63" s="129">
        <v>54.8</v>
      </c>
      <c r="N63" s="129">
        <v>34</v>
      </c>
      <c r="O63" s="129">
        <f t="shared" si="21"/>
        <v>1.6117647058823528</v>
      </c>
      <c r="P63" s="129">
        <v>11.9</v>
      </c>
      <c r="Q63" s="129">
        <v>13.2</v>
      </c>
      <c r="R63" s="177">
        <v>5.64</v>
      </c>
      <c r="S63" s="181">
        <v>34.700000000000003</v>
      </c>
      <c r="T63" s="129">
        <v>47.5</v>
      </c>
      <c r="U63" s="129">
        <v>43.4</v>
      </c>
      <c r="V63" s="129">
        <f t="shared" si="22"/>
        <v>1.0944700460829493</v>
      </c>
      <c r="W63" s="129">
        <v>19.8</v>
      </c>
      <c r="X63" s="129">
        <v>26.2</v>
      </c>
      <c r="Y63" s="175">
        <v>15.9</v>
      </c>
      <c r="Z63" s="171">
        <v>14.3</v>
      </c>
      <c r="AA63" s="129">
        <v>38.1</v>
      </c>
      <c r="AB63" s="129">
        <v>51.3</v>
      </c>
      <c r="AC63" s="129">
        <f t="shared" si="39"/>
        <v>0.74269005847953218</v>
      </c>
      <c r="AD63" s="129">
        <v>8.76</v>
      </c>
      <c r="AE63" s="129">
        <v>14</v>
      </c>
      <c r="AF63" s="177">
        <v>5.27</v>
      </c>
      <c r="AG63" s="190">
        <v>12263523</v>
      </c>
      <c r="AH63" s="133">
        <f t="shared" si="23"/>
        <v>3237570.0719999997</v>
      </c>
      <c r="AI63" s="133">
        <f t="shared" si="24"/>
        <v>1881028.2118319999</v>
      </c>
      <c r="AJ63" s="133">
        <f t="shared" si="25"/>
        <v>1036022.4230399999</v>
      </c>
      <c r="AK63" s="191">
        <f t="shared" si="26"/>
        <v>111356.8701404544</v>
      </c>
      <c r="AL63" s="184">
        <v>464348</v>
      </c>
      <c r="AM63" s="133">
        <f t="shared" si="27"/>
        <v>137911.356</v>
      </c>
      <c r="AN63" s="133">
        <f t="shared" si="28"/>
        <v>75575.423087999996</v>
      </c>
      <c r="AO63" s="133">
        <f t="shared" si="29"/>
        <v>46889.861040000003</v>
      </c>
      <c r="AP63" s="196">
        <f t="shared" si="30"/>
        <v>4262.4538621632</v>
      </c>
      <c r="AQ63" s="190">
        <v>412379</v>
      </c>
      <c r="AR63" s="133">
        <f t="shared" si="31"/>
        <v>143095.51300000001</v>
      </c>
      <c r="AS63" s="133">
        <f t="shared" si="32"/>
        <v>67970.368675000005</v>
      </c>
      <c r="AT63" s="133">
        <f t="shared" si="33"/>
        <v>62103.452642000004</v>
      </c>
      <c r="AU63" s="191">
        <f t="shared" si="34"/>
        <v>10807.288619325</v>
      </c>
      <c r="AV63" s="184">
        <v>79531</v>
      </c>
      <c r="AW63" s="133">
        <f t="shared" si="35"/>
        <v>11372.933000000001</v>
      </c>
      <c r="AX63" s="133">
        <f t="shared" si="36"/>
        <v>4333.0874730000005</v>
      </c>
      <c r="AY63" s="133">
        <f t="shared" si="37"/>
        <v>5834.3146290000004</v>
      </c>
      <c r="AZ63" s="141">
        <f t="shared" si="38"/>
        <v>228.3537098271</v>
      </c>
    </row>
    <row r="64" spans="1:52" x14ac:dyDescent="0.3">
      <c r="A64" s="114" t="s">
        <v>300</v>
      </c>
      <c r="B64" s="116" t="s">
        <v>251</v>
      </c>
      <c r="C64" s="116" t="s">
        <v>245</v>
      </c>
      <c r="D64" s="72" t="s">
        <v>91</v>
      </c>
      <c r="E64" s="181">
        <v>23.2</v>
      </c>
      <c r="F64" s="129">
        <v>57.1</v>
      </c>
      <c r="G64" s="129">
        <v>29.5</v>
      </c>
      <c r="H64" s="129">
        <f t="shared" si="20"/>
        <v>1.9355932203389832</v>
      </c>
      <c r="I64" s="129">
        <v>9.07</v>
      </c>
      <c r="J64" s="129">
        <v>23.2</v>
      </c>
      <c r="K64" s="175">
        <v>4.57</v>
      </c>
      <c r="L64" s="171">
        <v>31.2</v>
      </c>
      <c r="M64" s="129">
        <v>57.4</v>
      </c>
      <c r="N64" s="129">
        <v>29.2</v>
      </c>
      <c r="O64" s="129">
        <f t="shared" si="21"/>
        <v>1.9657534246575343</v>
      </c>
      <c r="P64" s="129">
        <v>18.7</v>
      </c>
      <c r="Q64" s="129">
        <v>6.78</v>
      </c>
      <c r="R64" s="177">
        <v>3.85</v>
      </c>
      <c r="S64" s="181">
        <v>37.6</v>
      </c>
      <c r="T64" s="129">
        <v>49</v>
      </c>
      <c r="U64" s="129">
        <v>42.1</v>
      </c>
      <c r="V64" s="129">
        <f t="shared" si="22"/>
        <v>1.1638954869358669</v>
      </c>
      <c r="W64" s="129">
        <v>15.9</v>
      </c>
      <c r="X64" s="129">
        <v>20.2</v>
      </c>
      <c r="Y64" s="175">
        <v>12.1</v>
      </c>
      <c r="Z64" s="171">
        <v>26.5</v>
      </c>
      <c r="AA64" s="129">
        <v>51.8</v>
      </c>
      <c r="AB64" s="129">
        <v>39.1</v>
      </c>
      <c r="AC64" s="129">
        <f t="shared" si="39"/>
        <v>1.3248081841432224</v>
      </c>
      <c r="AD64" s="129">
        <v>5.83</v>
      </c>
      <c r="AE64" s="129">
        <v>2.85</v>
      </c>
      <c r="AF64" s="177">
        <v>1.56</v>
      </c>
      <c r="AG64" s="190">
        <v>21928420</v>
      </c>
      <c r="AH64" s="133">
        <f t="shared" si="23"/>
        <v>5087393.4400000004</v>
      </c>
      <c r="AI64" s="133">
        <f t="shared" si="24"/>
        <v>2904901.6542400001</v>
      </c>
      <c r="AJ64" s="133">
        <f t="shared" si="25"/>
        <v>1500781.0648000003</v>
      </c>
      <c r="AK64" s="191">
        <f t="shared" si="26"/>
        <v>132754.00559876801</v>
      </c>
      <c r="AL64" s="184">
        <v>254212</v>
      </c>
      <c r="AM64" s="133">
        <f t="shared" si="27"/>
        <v>79314.144</v>
      </c>
      <c r="AN64" s="133">
        <f t="shared" si="28"/>
        <v>45526.318656000003</v>
      </c>
      <c r="AO64" s="133">
        <f t="shared" si="29"/>
        <v>23159.730047999998</v>
      </c>
      <c r="AP64" s="196">
        <f t="shared" si="30"/>
        <v>1752.7632682560004</v>
      </c>
      <c r="AQ64" s="190">
        <v>217547</v>
      </c>
      <c r="AR64" s="133">
        <f t="shared" si="31"/>
        <v>81797.672000000006</v>
      </c>
      <c r="AS64" s="133">
        <f t="shared" si="32"/>
        <v>40080.859280000004</v>
      </c>
      <c r="AT64" s="133">
        <f t="shared" si="33"/>
        <v>34436.819912000006</v>
      </c>
      <c r="AU64" s="191">
        <f t="shared" si="34"/>
        <v>4849.78397288</v>
      </c>
      <c r="AV64" s="184">
        <v>147944</v>
      </c>
      <c r="AW64" s="133">
        <f t="shared" si="35"/>
        <v>39205.160000000003</v>
      </c>
      <c r="AX64" s="133">
        <f t="shared" si="36"/>
        <v>20308.27288</v>
      </c>
      <c r="AY64" s="133">
        <f t="shared" si="37"/>
        <v>15329.217560000003</v>
      </c>
      <c r="AZ64" s="141">
        <f t="shared" si="38"/>
        <v>316.80905692800002</v>
      </c>
    </row>
    <row r="65" spans="1:52" x14ac:dyDescent="0.3">
      <c r="A65" s="114" t="s">
        <v>287</v>
      </c>
      <c r="B65" s="116" t="s">
        <v>251</v>
      </c>
      <c r="C65" s="116" t="s">
        <v>245</v>
      </c>
      <c r="D65" s="72" t="s">
        <v>334</v>
      </c>
      <c r="E65" s="181">
        <v>30.5</v>
      </c>
      <c r="F65" s="129">
        <v>50</v>
      </c>
      <c r="G65" s="129">
        <v>39.5</v>
      </c>
      <c r="H65" s="129">
        <f t="shared" si="20"/>
        <v>1.2658227848101267</v>
      </c>
      <c r="I65" s="129">
        <v>7.26</v>
      </c>
      <c r="J65" s="129">
        <v>18.8</v>
      </c>
      <c r="K65" s="175">
        <v>5.37</v>
      </c>
      <c r="L65" s="171">
        <v>42.1</v>
      </c>
      <c r="M65" s="129">
        <v>63.1</v>
      </c>
      <c r="N65" s="129">
        <v>34.200000000000003</v>
      </c>
      <c r="O65" s="129">
        <f t="shared" si="21"/>
        <v>1.8450292397660817</v>
      </c>
      <c r="P65" s="129">
        <v>13.2</v>
      </c>
      <c r="Q65" s="129">
        <v>30</v>
      </c>
      <c r="R65" s="177">
        <v>10.5</v>
      </c>
      <c r="S65" s="181">
        <v>27.8</v>
      </c>
      <c r="T65" s="129">
        <v>57.1</v>
      </c>
      <c r="U65" s="129">
        <v>34.9</v>
      </c>
      <c r="V65" s="129">
        <f t="shared" si="22"/>
        <v>1.6361031518624642</v>
      </c>
      <c r="W65" s="129">
        <v>17.5</v>
      </c>
      <c r="X65" s="129">
        <v>20.8</v>
      </c>
      <c r="Y65" s="175">
        <v>12</v>
      </c>
      <c r="Z65" s="171">
        <v>22.8</v>
      </c>
      <c r="AA65" s="129">
        <v>59.5</v>
      </c>
      <c r="AB65" s="129">
        <v>29.5</v>
      </c>
      <c r="AC65" s="129">
        <f t="shared" si="39"/>
        <v>2.0169491525423728</v>
      </c>
      <c r="AD65" s="129">
        <v>5.18</v>
      </c>
      <c r="AE65" s="129">
        <v>11.4</v>
      </c>
      <c r="AF65" s="177">
        <v>3.34</v>
      </c>
      <c r="AG65" s="190">
        <v>15955819</v>
      </c>
      <c r="AH65" s="133">
        <f t="shared" si="23"/>
        <v>4866524.7949999999</v>
      </c>
      <c r="AI65" s="133">
        <f t="shared" si="24"/>
        <v>2433262.3975</v>
      </c>
      <c r="AJ65" s="133">
        <f t="shared" si="25"/>
        <v>1922277.294025</v>
      </c>
      <c r="AK65" s="191">
        <f t="shared" si="26"/>
        <v>130666.19074574999</v>
      </c>
      <c r="AL65" s="184">
        <v>487340</v>
      </c>
      <c r="AM65" s="133">
        <f t="shared" si="27"/>
        <v>205170.14</v>
      </c>
      <c r="AN65" s="133">
        <f t="shared" si="28"/>
        <v>129462.35834000001</v>
      </c>
      <c r="AO65" s="133">
        <f t="shared" si="29"/>
        <v>70168.187880000012</v>
      </c>
      <c r="AP65" s="196">
        <f t="shared" si="30"/>
        <v>13593.547625700001</v>
      </c>
      <c r="AQ65" s="190">
        <v>391339</v>
      </c>
      <c r="AR65" s="133">
        <f t="shared" si="31"/>
        <v>108792.24200000001</v>
      </c>
      <c r="AS65" s="133">
        <f t="shared" si="32"/>
        <v>62120.370182000006</v>
      </c>
      <c r="AT65" s="133">
        <f t="shared" si="33"/>
        <v>37968.492458000001</v>
      </c>
      <c r="AU65" s="191">
        <f t="shared" si="34"/>
        <v>7454.4444218400004</v>
      </c>
      <c r="AV65" s="184">
        <v>183450</v>
      </c>
      <c r="AW65" s="133">
        <f t="shared" si="35"/>
        <v>41826.6</v>
      </c>
      <c r="AX65" s="133">
        <f t="shared" si="36"/>
        <v>24886.826999999997</v>
      </c>
      <c r="AY65" s="133">
        <f t="shared" si="37"/>
        <v>12338.847</v>
      </c>
      <c r="AZ65" s="141">
        <f t="shared" si="38"/>
        <v>831.22002179999981</v>
      </c>
    </row>
    <row r="66" spans="1:52" x14ac:dyDescent="0.3">
      <c r="A66" s="114" t="s">
        <v>292</v>
      </c>
      <c r="B66" s="116" t="s">
        <v>251</v>
      </c>
      <c r="C66" s="116" t="s">
        <v>245</v>
      </c>
      <c r="D66" s="72" t="s">
        <v>334</v>
      </c>
      <c r="E66" s="181">
        <v>24.6</v>
      </c>
      <c r="F66" s="129">
        <v>52</v>
      </c>
      <c r="G66" s="129">
        <v>35</v>
      </c>
      <c r="H66" s="129">
        <f t="shared" si="20"/>
        <v>1.4857142857142858</v>
      </c>
      <c r="I66" s="129">
        <v>19.3</v>
      </c>
      <c r="J66" s="129">
        <v>26.7</v>
      </c>
      <c r="K66" s="175">
        <v>5.96</v>
      </c>
      <c r="L66" s="171">
        <v>42.9</v>
      </c>
      <c r="M66" s="129">
        <v>48</v>
      </c>
      <c r="N66" s="129">
        <v>42.7</v>
      </c>
      <c r="O66" s="129">
        <f t="shared" si="21"/>
        <v>1.1241217798594847</v>
      </c>
      <c r="P66" s="129">
        <v>15.2</v>
      </c>
      <c r="Q66" s="129">
        <v>23.8</v>
      </c>
      <c r="R66" s="177">
        <v>8.5</v>
      </c>
      <c r="S66" s="181">
        <v>55.2</v>
      </c>
      <c r="T66" s="129">
        <v>42.5</v>
      </c>
      <c r="U66" s="129">
        <v>47.3</v>
      </c>
      <c r="V66" s="129">
        <f t="shared" si="22"/>
        <v>0.89852008456659627</v>
      </c>
      <c r="W66" s="129">
        <v>18.399999999999999</v>
      </c>
      <c r="X66" s="129">
        <v>29.4</v>
      </c>
      <c r="Y66" s="175">
        <v>18.2</v>
      </c>
      <c r="Z66" s="171">
        <v>18.3</v>
      </c>
      <c r="AA66" s="129">
        <v>38.799999999999997</v>
      </c>
      <c r="AB66" s="129">
        <v>43.9</v>
      </c>
      <c r="AC66" s="129">
        <f t="shared" si="39"/>
        <v>0.88382687927107062</v>
      </c>
      <c r="AD66" s="129">
        <v>5.62</v>
      </c>
      <c r="AE66" s="129">
        <v>20.7</v>
      </c>
      <c r="AF66" s="177">
        <v>5.95</v>
      </c>
      <c r="AG66" s="190">
        <v>12715685</v>
      </c>
      <c r="AH66" s="133">
        <f t="shared" si="23"/>
        <v>3128058.51</v>
      </c>
      <c r="AI66" s="133">
        <f t="shared" si="24"/>
        <v>1626590.4251999997</v>
      </c>
      <c r="AJ66" s="133">
        <f t="shared" si="25"/>
        <v>1094820.4785</v>
      </c>
      <c r="AK66" s="191">
        <f t="shared" si="26"/>
        <v>96944.789341919983</v>
      </c>
      <c r="AL66" s="184">
        <v>330101</v>
      </c>
      <c r="AM66" s="133">
        <f t="shared" si="27"/>
        <v>141613.329</v>
      </c>
      <c r="AN66" s="133">
        <f t="shared" si="28"/>
        <v>67974.397919999989</v>
      </c>
      <c r="AO66" s="133">
        <f t="shared" si="29"/>
        <v>60468.891483000007</v>
      </c>
      <c r="AP66" s="196">
        <f t="shared" si="30"/>
        <v>5777.8238231999985</v>
      </c>
      <c r="AQ66" s="190">
        <v>227423</v>
      </c>
      <c r="AR66" s="133">
        <f t="shared" si="31"/>
        <v>125537.49600000001</v>
      </c>
      <c r="AS66" s="133">
        <f t="shared" si="32"/>
        <v>53353.435800000007</v>
      </c>
      <c r="AT66" s="133">
        <f t="shared" si="33"/>
        <v>59379.235608000003</v>
      </c>
      <c r="AU66" s="191">
        <f t="shared" si="34"/>
        <v>9710.325315600001</v>
      </c>
      <c r="AV66" s="184">
        <v>177219</v>
      </c>
      <c r="AW66" s="133">
        <f t="shared" si="35"/>
        <v>32431.077000000001</v>
      </c>
      <c r="AX66" s="133">
        <f t="shared" si="36"/>
        <v>12583.257876</v>
      </c>
      <c r="AY66" s="133">
        <f t="shared" si="37"/>
        <v>14237.242802999999</v>
      </c>
      <c r="AZ66" s="141">
        <f t="shared" si="38"/>
        <v>748.70384362200002</v>
      </c>
    </row>
    <row r="67" spans="1:52" ht="16.2" thickBot="1" x14ac:dyDescent="0.35">
      <c r="A67" s="115" t="s">
        <v>296</v>
      </c>
      <c r="B67" s="65" t="s">
        <v>251</v>
      </c>
      <c r="C67" s="65" t="s">
        <v>245</v>
      </c>
      <c r="D67" s="151" t="s">
        <v>334</v>
      </c>
      <c r="E67" s="182">
        <v>25.9</v>
      </c>
      <c r="F67" s="132">
        <v>50.4</v>
      </c>
      <c r="G67" s="132">
        <v>37.700000000000003</v>
      </c>
      <c r="H67" s="132">
        <f t="shared" si="20"/>
        <v>1.3368700265251987</v>
      </c>
      <c r="I67" s="132">
        <v>7.62</v>
      </c>
      <c r="J67" s="132">
        <v>19.5</v>
      </c>
      <c r="K67" s="176">
        <v>6.09</v>
      </c>
      <c r="L67" s="172">
        <v>30.1</v>
      </c>
      <c r="M67" s="132">
        <v>56.7</v>
      </c>
      <c r="N67" s="132">
        <v>40.6</v>
      </c>
      <c r="O67" s="132">
        <f t="shared" si="21"/>
        <v>1.396551724137931</v>
      </c>
      <c r="P67" s="132">
        <v>13.8</v>
      </c>
      <c r="Q67" s="132">
        <v>18.600000000000001</v>
      </c>
      <c r="R67" s="178">
        <v>9.11</v>
      </c>
      <c r="S67" s="182">
        <v>37</v>
      </c>
      <c r="T67" s="132">
        <v>44.4</v>
      </c>
      <c r="U67" s="132">
        <v>49.2</v>
      </c>
      <c r="V67" s="132">
        <f t="shared" si="22"/>
        <v>0.90243902439024382</v>
      </c>
      <c r="W67" s="132">
        <v>16</v>
      </c>
      <c r="X67" s="132">
        <v>19.3</v>
      </c>
      <c r="Y67" s="176">
        <v>13.2</v>
      </c>
      <c r="Z67" s="172">
        <v>16.8</v>
      </c>
      <c r="AA67" s="132">
        <v>34.9</v>
      </c>
      <c r="AB67" s="132">
        <v>49.5</v>
      </c>
      <c r="AC67" s="132">
        <f t="shared" si="39"/>
        <v>0.70505050505050504</v>
      </c>
      <c r="AD67" s="132">
        <v>6.59</v>
      </c>
      <c r="AE67" s="132">
        <v>13.7</v>
      </c>
      <c r="AF67" s="178">
        <v>4.62</v>
      </c>
      <c r="AG67" s="194">
        <v>19121949</v>
      </c>
      <c r="AH67" s="135">
        <f t="shared" si="23"/>
        <v>4952584.7909999993</v>
      </c>
      <c r="AI67" s="135">
        <f t="shared" si="24"/>
        <v>2496102.7346639996</v>
      </c>
      <c r="AJ67" s="135">
        <f t="shared" si="25"/>
        <v>1867124.4662069997</v>
      </c>
      <c r="AK67" s="195">
        <f t="shared" si="26"/>
        <v>152012.65654103758</v>
      </c>
      <c r="AL67" s="186">
        <v>482109</v>
      </c>
      <c r="AM67" s="135">
        <f t="shared" si="27"/>
        <v>145114.80900000001</v>
      </c>
      <c r="AN67" s="135">
        <f t="shared" si="28"/>
        <v>82280.096703000017</v>
      </c>
      <c r="AO67" s="135">
        <f t="shared" si="29"/>
        <v>58916.612454000002</v>
      </c>
      <c r="AP67" s="198">
        <f t="shared" si="30"/>
        <v>7495.7168096433006</v>
      </c>
      <c r="AQ67" s="194">
        <v>636693</v>
      </c>
      <c r="AR67" s="135">
        <f t="shared" si="31"/>
        <v>235576.41</v>
      </c>
      <c r="AS67" s="135">
        <f t="shared" si="32"/>
        <v>104595.92604000001</v>
      </c>
      <c r="AT67" s="135">
        <f t="shared" si="33"/>
        <v>115903.59372000002</v>
      </c>
      <c r="AU67" s="195">
        <f t="shared" si="34"/>
        <v>13806.662237279999</v>
      </c>
      <c r="AV67" s="186">
        <v>119572</v>
      </c>
      <c r="AW67" s="135">
        <f t="shared" si="35"/>
        <v>20088.096000000001</v>
      </c>
      <c r="AX67" s="135">
        <f t="shared" si="36"/>
        <v>7010.7455040000004</v>
      </c>
      <c r="AY67" s="135">
        <f t="shared" si="37"/>
        <v>9943.6075200000014</v>
      </c>
      <c r="AZ67" s="142">
        <f t="shared" si="38"/>
        <v>323.89644228480006</v>
      </c>
    </row>
  </sheetData>
  <mergeCells count="11">
    <mergeCell ref="A1:D2"/>
    <mergeCell ref="E1:AF1"/>
    <mergeCell ref="AG1:AZ1"/>
    <mergeCell ref="E2:K2"/>
    <mergeCell ref="L2:R2"/>
    <mergeCell ref="S2:Y2"/>
    <mergeCell ref="Z2:AF2"/>
    <mergeCell ref="AG2:AK2"/>
    <mergeCell ref="AL2:AP2"/>
    <mergeCell ref="AQ2:AU2"/>
    <mergeCell ref="AV2:AZ2"/>
  </mergeCells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370"/>
  <sheetViews>
    <sheetView topLeftCell="AH1" zoomScale="110" zoomScaleNormal="110" workbookViewId="0">
      <selection activeCell="AH1" sqref="AH1:AV1048576"/>
    </sheetView>
  </sheetViews>
  <sheetFormatPr defaultColWidth="11" defaultRowHeight="15.6" x14ac:dyDescent="0.3"/>
  <cols>
    <col min="1" max="1" width="16.69921875" style="30" customWidth="1"/>
    <col min="2" max="2" width="27.19921875" style="2" customWidth="1"/>
    <col min="3" max="15" width="9.796875" style="16" customWidth="1"/>
    <col min="16" max="16" width="11" style="2" customWidth="1"/>
    <col min="17" max="17" width="16.69921875" style="30" customWidth="1"/>
    <col min="18" max="18" width="12.796875" style="30" customWidth="1"/>
    <col min="19" max="19" width="26.19921875" style="2" customWidth="1"/>
    <col min="20" max="29" width="6.796875" style="2" customWidth="1"/>
    <col min="30" max="31" width="12.796875" style="15" customWidth="1"/>
    <col min="32" max="32" width="11" style="2" customWidth="1"/>
    <col min="33" max="33" width="23.296875" style="2" customWidth="1"/>
    <col min="34" max="34" width="13.5" style="2" customWidth="1"/>
    <col min="35" max="35" width="12" style="2" customWidth="1"/>
    <col min="36" max="36" width="11.5" style="2" customWidth="1"/>
    <col min="37" max="37" width="12.296875" style="2" customWidth="1"/>
    <col min="38" max="38" width="12" style="2" customWidth="1"/>
    <col min="39" max="41" width="12.19921875" style="2" customWidth="1"/>
    <col min="42" max="46" width="11" style="2" customWidth="1"/>
    <col min="47" max="47" width="11" style="2"/>
    <col min="48" max="48" width="10.796875" style="2" customWidth="1"/>
    <col min="49" max="16384" width="11" style="2"/>
  </cols>
  <sheetData>
    <row r="1" spans="1:48" s="5" customFormat="1" ht="47.4" thickBot="1" x14ac:dyDescent="0.5">
      <c r="A1" s="223" t="s">
        <v>95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4"/>
      <c r="Q1" s="225" t="s">
        <v>96</v>
      </c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4"/>
      <c r="AG1" s="22" t="s">
        <v>188</v>
      </c>
      <c r="AH1" s="22" t="s">
        <v>180</v>
      </c>
      <c r="AI1" s="22" t="s">
        <v>98</v>
      </c>
      <c r="AJ1" s="22" t="s">
        <v>99</v>
      </c>
      <c r="AK1" s="22" t="s">
        <v>100</v>
      </c>
      <c r="AL1" s="22" t="s">
        <v>101</v>
      </c>
      <c r="AM1" s="10" t="s">
        <v>184</v>
      </c>
      <c r="AN1" s="10" t="s">
        <v>185</v>
      </c>
      <c r="AO1" s="10" t="s">
        <v>33</v>
      </c>
      <c r="AP1" s="10" t="s">
        <v>103</v>
      </c>
      <c r="AQ1" s="10" t="s">
        <v>186</v>
      </c>
      <c r="AR1" s="11" t="s">
        <v>104</v>
      </c>
      <c r="AS1" s="12" t="s">
        <v>105</v>
      </c>
      <c r="AT1" s="12" t="s">
        <v>106</v>
      </c>
      <c r="AU1" s="43" t="s">
        <v>31</v>
      </c>
      <c r="AV1" s="43" t="s">
        <v>189</v>
      </c>
    </row>
    <row r="2" spans="1:48" ht="16.2" thickBot="1" x14ac:dyDescent="0.35">
      <c r="A2" s="22" t="s">
        <v>1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/>
      <c r="O2" s="7"/>
      <c r="Q2" s="22" t="s">
        <v>1</v>
      </c>
      <c r="R2" s="22" t="s">
        <v>0</v>
      </c>
      <c r="T2" s="2">
        <v>1</v>
      </c>
      <c r="U2" s="2">
        <v>2</v>
      </c>
      <c r="V2" s="2">
        <v>3</v>
      </c>
      <c r="W2" s="2">
        <v>4</v>
      </c>
      <c r="X2" s="2">
        <v>5</v>
      </c>
      <c r="Y2" s="2">
        <v>6</v>
      </c>
      <c r="Z2" s="2">
        <v>7</v>
      </c>
      <c r="AA2" s="2">
        <v>8</v>
      </c>
      <c r="AB2" s="2">
        <v>9</v>
      </c>
      <c r="AC2" s="2">
        <v>10</v>
      </c>
      <c r="AD2" s="32" t="s">
        <v>6</v>
      </c>
      <c r="AG2" s="20" t="s">
        <v>60</v>
      </c>
      <c r="AH2" s="3" t="s">
        <v>183</v>
      </c>
      <c r="AI2" s="33">
        <v>9.6539999999999999</v>
      </c>
      <c r="AJ2" s="21">
        <v>80.197699999999998</v>
      </c>
      <c r="AK2" s="21">
        <v>79.950019999999995</v>
      </c>
      <c r="AL2" s="21">
        <v>70.296020000000013</v>
      </c>
      <c r="AM2" s="21">
        <f>((Table18[[#This Row],[Ipsilateral Hemisphere]]-Table18[[#This Row],[Contralateral Hemisphere]])/Table18[[#This Row],[Contralateral Hemisphere]])*100</f>
        <v>-0.30883678708990725</v>
      </c>
      <c r="AN2" s="21">
        <f>(Table18[[#This Row],[Contralateral Hemisphere]]-Table18[[#This Row],[Ipsilateral Hemisphere]])/Table18[[#This Row],[Contralateral Hemisphere]]*100</f>
        <v>0.30883678708990725</v>
      </c>
      <c r="AO2" s="21" t="str">
        <f>IF(Table18[[#This Row],[(ipsi-contra) /contra *100]]&gt;0,"Oedema","Contraction")</f>
        <v>Contraction</v>
      </c>
      <c r="AP2" s="21">
        <f>Table18[[#This Row],[Contralateral Hemisphere]]-Table18[[#This Row],[Ipsilateral Hemisphere]]</f>
        <v>0.24768000000000256</v>
      </c>
      <c r="AQ2" s="15">
        <f>Table18[[#This Row],[Contralateral Hemisphere]]-Table18[[#This Row],[Healthy Ipsilateral Hemisphere]]</f>
        <v>9.9016799999999847</v>
      </c>
      <c r="AR2" s="7">
        <v>7</v>
      </c>
      <c r="AS2" s="7">
        <v>5</v>
      </c>
      <c r="AT2" s="7">
        <f>Table18[[#This Row],['#sections of lesion]]-Table18[[#This Row],[cortex]]</f>
        <v>2</v>
      </c>
      <c r="AU2" s="44">
        <f>Table18[[#This Row],[Ipsilateral Hemisphere]]/Table18[[#This Row],[Contralateral Hemisphere]]</f>
        <v>0.99691163212910094</v>
      </c>
      <c r="AV2" s="44">
        <f>Table18[[#This Row],[Contralateral Hemisphere]]/Table18[[#This Row],[Ipsilateral Hemisphere]]</f>
        <v>1.0030979354351632</v>
      </c>
    </row>
    <row r="3" spans="1:48" ht="15.75" customHeight="1" thickBot="1" x14ac:dyDescent="0.35">
      <c r="A3" s="216" t="s">
        <v>108</v>
      </c>
      <c r="B3" s="13" t="s">
        <v>98</v>
      </c>
      <c r="C3" s="14"/>
      <c r="D3" s="14"/>
      <c r="E3" s="34">
        <v>0.14199999999999999</v>
      </c>
      <c r="F3" s="14">
        <v>0.48099999999999998</v>
      </c>
      <c r="G3" s="14">
        <v>1.2370000000000001</v>
      </c>
      <c r="H3" s="14">
        <v>2.8980000000000001</v>
      </c>
      <c r="I3" s="14">
        <v>3.6619999999999999</v>
      </c>
      <c r="J3" s="14">
        <v>1.786</v>
      </c>
      <c r="K3" s="35">
        <v>0.90600000000000003</v>
      </c>
      <c r="L3" s="14"/>
      <c r="M3" s="14"/>
      <c r="N3" s="15" t="s">
        <v>109</v>
      </c>
      <c r="O3" s="16">
        <f>COUNTIF(A3:L3, "&gt;0" )</f>
        <v>7</v>
      </c>
      <c r="Q3" s="216" t="s">
        <v>108</v>
      </c>
      <c r="R3" s="216" t="s">
        <v>2</v>
      </c>
      <c r="S3" s="36" t="s">
        <v>98</v>
      </c>
      <c r="T3" s="18"/>
      <c r="U3" s="18"/>
      <c r="V3" s="18">
        <f t="shared" ref="V3:AB3" si="0">E3*E10</f>
        <v>6.8159999999999984E-2</v>
      </c>
      <c r="W3" s="18">
        <f t="shared" si="0"/>
        <v>0.25974000000000003</v>
      </c>
      <c r="X3" s="18">
        <f t="shared" si="0"/>
        <v>0.56902000000000008</v>
      </c>
      <c r="Y3" s="18">
        <f t="shared" si="0"/>
        <v>1.4490000000000001</v>
      </c>
      <c r="Z3" s="18">
        <f t="shared" si="0"/>
        <v>1.831</v>
      </c>
      <c r="AA3" s="18">
        <f t="shared" si="0"/>
        <v>0.96444000000000007</v>
      </c>
      <c r="AB3" s="18">
        <f t="shared" si="0"/>
        <v>0.43487999999999999</v>
      </c>
      <c r="AC3" s="18"/>
      <c r="AD3" s="33">
        <f>SUM(T3:AC3)</f>
        <v>5.5762400000000003</v>
      </c>
      <c r="AE3" s="25"/>
      <c r="AG3" s="20" t="s">
        <v>61</v>
      </c>
      <c r="AH3" s="3" t="s">
        <v>182</v>
      </c>
      <c r="AI3" s="33">
        <v>11.361919999999998</v>
      </c>
      <c r="AJ3" s="21">
        <v>87.410759999999996</v>
      </c>
      <c r="AK3" s="21">
        <v>85.504440000000002</v>
      </c>
      <c r="AL3" s="21">
        <v>74.142520000000005</v>
      </c>
      <c r="AM3" s="15">
        <f>((Table18[[#This Row],[Ipsilateral Hemisphere]]-Table18[[#This Row],[Contralateral Hemisphere]])/Table18[[#This Row],[Contralateral Hemisphere]])*100</f>
        <v>-2.1808756725144525</v>
      </c>
      <c r="AN3" s="15">
        <f>(Table18[[#This Row],[Contralateral Hemisphere]]-Table18[[#This Row],[Ipsilateral Hemisphere]])/Table18[[#This Row],[Contralateral Hemisphere]]*100</f>
        <v>2.1808756725144525</v>
      </c>
      <c r="AO3" s="15" t="str">
        <f>IF(Table18[[#This Row],[(ipsi-contra) /contra *100]]&gt;0,"Oedema","Contraction")</f>
        <v>Contraction</v>
      </c>
      <c r="AP3" s="15">
        <f>Table18[[#This Row],[Contralateral Hemisphere]]-Table18[[#This Row],[Ipsilateral Hemisphere]]</f>
        <v>1.9063199999999938</v>
      </c>
      <c r="AQ3" s="15">
        <f>Table18[[#This Row],[Contralateral Hemisphere]]-Table18[[#This Row],[Healthy Ipsilateral Hemisphere]]</f>
        <v>13.268239999999992</v>
      </c>
      <c r="AR3" s="7">
        <v>7</v>
      </c>
      <c r="AS3" s="7">
        <v>6</v>
      </c>
      <c r="AT3" s="7">
        <f>Table18[[#This Row],['#sections of lesion]]-Table18[[#This Row],[cortex]]</f>
        <v>1</v>
      </c>
      <c r="AU3" s="44">
        <f>Table18[[#This Row],[Ipsilateral Hemisphere]]/Table18[[#This Row],[Contralateral Hemisphere]]</f>
        <v>0.97819124327485552</v>
      </c>
      <c r="AV3" s="44">
        <f>Table18[[#This Row],[Contralateral Hemisphere]]/Table18[[#This Row],[Ipsilateral Hemisphere]]</f>
        <v>1.0222949825763434</v>
      </c>
    </row>
    <row r="4" spans="1:48" ht="16.2" thickBot="1" x14ac:dyDescent="0.35">
      <c r="A4" s="217"/>
      <c r="B4" s="2" t="s">
        <v>110</v>
      </c>
      <c r="C4" s="15"/>
      <c r="D4" s="15"/>
      <c r="E4" s="37" t="s">
        <v>111</v>
      </c>
      <c r="F4" s="15" t="s">
        <v>187</v>
      </c>
      <c r="G4" s="15" t="s">
        <v>187</v>
      </c>
      <c r="H4" s="15" t="s">
        <v>187</v>
      </c>
      <c r="I4" s="15" t="s">
        <v>112</v>
      </c>
      <c r="J4" s="15" t="s">
        <v>111</v>
      </c>
      <c r="K4" s="38" t="s">
        <v>111</v>
      </c>
      <c r="L4" s="15"/>
      <c r="M4" s="15"/>
      <c r="N4" s="15" t="s">
        <v>105</v>
      </c>
      <c r="O4" s="15">
        <f>COUNTIF(A4:L4,"Cortex")</f>
        <v>3</v>
      </c>
      <c r="Q4" s="217"/>
      <c r="R4" s="217"/>
      <c r="T4" s="15"/>
      <c r="U4" s="15"/>
      <c r="V4" s="15"/>
      <c r="W4" s="15"/>
      <c r="X4" s="15"/>
      <c r="Y4" s="15"/>
      <c r="Z4" s="15"/>
      <c r="AA4" s="15"/>
      <c r="AB4" s="15"/>
      <c r="AC4" s="15"/>
      <c r="AD4" s="21"/>
      <c r="AG4" s="20" t="s">
        <v>62</v>
      </c>
      <c r="AH4" s="3" t="s">
        <v>181</v>
      </c>
      <c r="AI4" s="33">
        <v>12.292900000000001</v>
      </c>
      <c r="AJ4" s="21">
        <v>81.842200000000005</v>
      </c>
      <c r="AK4" s="21">
        <v>78.814720000000008</v>
      </c>
      <c r="AL4" s="21">
        <v>66.521820000000005</v>
      </c>
      <c r="AM4" s="15">
        <f>((Table18[[#This Row],[Ipsilateral Hemisphere]]-Table18[[#This Row],[Contralateral Hemisphere]])/Table18[[#This Row],[Contralateral Hemisphere]])*100</f>
        <v>-3.6991674221856168</v>
      </c>
      <c r="AN4" s="15">
        <f>(Table18[[#This Row],[Contralateral Hemisphere]]-Table18[[#This Row],[Ipsilateral Hemisphere]])/Table18[[#This Row],[Contralateral Hemisphere]]*100</f>
        <v>3.6991674221856168</v>
      </c>
      <c r="AO4" s="15" t="str">
        <f>IF(Table18[[#This Row],[(ipsi-contra) /contra *100]]&gt;0,"Oedema","Contraction")</f>
        <v>Contraction</v>
      </c>
      <c r="AP4" s="15">
        <f>Table18[[#This Row],[Contralateral Hemisphere]]-Table18[[#This Row],[Ipsilateral Hemisphere]]</f>
        <v>3.0274799999999971</v>
      </c>
      <c r="AQ4" s="15">
        <f>Table18[[#This Row],[Contralateral Hemisphere]]-Table18[[#This Row],[Healthy Ipsilateral Hemisphere]]</f>
        <v>15.32038</v>
      </c>
      <c r="AR4" s="7">
        <v>7</v>
      </c>
      <c r="AS4" s="7">
        <v>0</v>
      </c>
      <c r="AT4" s="7">
        <f>Table18[[#This Row],['#sections of lesion]]-Table18[[#This Row],[cortex]]</f>
        <v>7</v>
      </c>
      <c r="AU4" s="44">
        <f>Table18[[#This Row],[Ipsilateral Hemisphere]]/Table18[[#This Row],[Contralateral Hemisphere]]</f>
        <v>0.96300832577814388</v>
      </c>
      <c r="AV4" s="44">
        <f>Table18[[#This Row],[Contralateral Hemisphere]]/Table18[[#This Row],[Ipsilateral Hemisphere]]</f>
        <v>1.0384126213986422</v>
      </c>
    </row>
    <row r="5" spans="1:48" ht="16.2" thickBot="1" x14ac:dyDescent="0.35">
      <c r="A5" s="217"/>
      <c r="B5" s="2" t="s">
        <v>99</v>
      </c>
      <c r="C5" s="15"/>
      <c r="D5" s="15"/>
      <c r="E5" s="37">
        <v>16.8</v>
      </c>
      <c r="F5" s="15">
        <v>18.645</v>
      </c>
      <c r="G5" s="15">
        <v>20.655999999999999</v>
      </c>
      <c r="H5" s="15">
        <v>22.312000000000001</v>
      </c>
      <c r="I5" s="15">
        <v>23.648</v>
      </c>
      <c r="J5" s="15">
        <v>25.130000000000003</v>
      </c>
      <c r="K5" s="38">
        <v>25.428000000000001</v>
      </c>
      <c r="L5" s="15"/>
      <c r="M5" s="15"/>
      <c r="N5" s="15" t="s">
        <v>106</v>
      </c>
      <c r="O5" s="15">
        <f>O3-O4</f>
        <v>4</v>
      </c>
      <c r="Q5" s="217"/>
      <c r="R5" s="217"/>
      <c r="S5" s="2" t="s">
        <v>99</v>
      </c>
      <c r="T5" s="15"/>
      <c r="U5" s="15"/>
      <c r="V5" s="15">
        <f t="shared" ref="V5:AB5" si="1">E5*E10</f>
        <v>8.0640000000000001</v>
      </c>
      <c r="W5" s="15">
        <f t="shared" si="1"/>
        <v>10.068300000000001</v>
      </c>
      <c r="X5" s="15">
        <f t="shared" si="1"/>
        <v>9.5017599999999991</v>
      </c>
      <c r="Y5" s="15">
        <f t="shared" si="1"/>
        <v>11.156000000000001</v>
      </c>
      <c r="Z5" s="15">
        <f t="shared" si="1"/>
        <v>11.824</v>
      </c>
      <c r="AA5" s="15">
        <f t="shared" si="1"/>
        <v>13.570200000000002</v>
      </c>
      <c r="AB5" s="15">
        <f t="shared" si="1"/>
        <v>12.205439999999999</v>
      </c>
      <c r="AC5" s="15"/>
      <c r="AD5" s="21">
        <f>SUM(T5:AC5)</f>
        <v>76.389699999999991</v>
      </c>
      <c r="AG5" s="20" t="s">
        <v>63</v>
      </c>
      <c r="AH5" s="3" t="s">
        <v>183</v>
      </c>
      <c r="AI5" s="33">
        <v>9.8159799999999997</v>
      </c>
      <c r="AJ5" s="21">
        <v>79.848120000000009</v>
      </c>
      <c r="AK5" s="21">
        <v>81.137180000000001</v>
      </c>
      <c r="AL5" s="21">
        <v>71.321200000000005</v>
      </c>
      <c r="AM5" s="15">
        <f>((Table18[[#This Row],[Ipsilateral Hemisphere]]-Table18[[#This Row],[Contralateral Hemisphere]])/Table18[[#This Row],[Contralateral Hemisphere]])*100</f>
        <v>1.6143899192617082</v>
      </c>
      <c r="AN5" s="15">
        <f>(Table18[[#This Row],[Contralateral Hemisphere]]-Table18[[#This Row],[Ipsilateral Hemisphere]])/Table18[[#This Row],[Contralateral Hemisphere]]*100</f>
        <v>-1.6143899192617082</v>
      </c>
      <c r="AO5" s="15" t="str">
        <f>IF(Table18[[#This Row],[(ipsi-contra) /contra *100]]&gt;0,"Oedema","Contraction")</f>
        <v>Oedema</v>
      </c>
      <c r="AP5" s="15">
        <f>Table18[[#This Row],[Contralateral Hemisphere]]-Table18[[#This Row],[Ipsilateral Hemisphere]]</f>
        <v>-1.2890599999999921</v>
      </c>
      <c r="AQ5" s="15">
        <f>Table18[[#This Row],[Contralateral Hemisphere]]-Table18[[#This Row],[Healthy Ipsilateral Hemisphere]]</f>
        <v>8.5269200000000041</v>
      </c>
      <c r="AR5" s="7">
        <v>7</v>
      </c>
      <c r="AS5" s="7">
        <v>7</v>
      </c>
      <c r="AT5" s="7">
        <f>Table18[[#This Row],['#sections of lesion]]-Table18[[#This Row],[cortex]]</f>
        <v>0</v>
      </c>
      <c r="AU5" s="44">
        <f>Table18[[#This Row],[Ipsilateral Hemisphere]]/Table18[[#This Row],[Contralateral Hemisphere]]</f>
        <v>1.0161438991926171</v>
      </c>
      <c r="AV5" s="44">
        <f>Table18[[#This Row],[Contralateral Hemisphere]]/Table18[[#This Row],[Ipsilateral Hemisphere]]</f>
        <v>0.98411258562350834</v>
      </c>
    </row>
    <row r="6" spans="1:48" ht="16.2" thickBot="1" x14ac:dyDescent="0.35">
      <c r="A6" s="217"/>
      <c r="B6" s="2" t="s">
        <v>100</v>
      </c>
      <c r="C6" s="15"/>
      <c r="D6" s="15"/>
      <c r="E6" s="37">
        <v>16.024999999999999</v>
      </c>
      <c r="F6" s="15">
        <v>17.358000000000001</v>
      </c>
      <c r="G6" s="15">
        <v>19.343</v>
      </c>
      <c r="H6" s="15">
        <v>20.692</v>
      </c>
      <c r="I6" s="15">
        <v>22.585999999999999</v>
      </c>
      <c r="J6" s="15">
        <v>24.367000000000001</v>
      </c>
      <c r="K6" s="38">
        <v>25.27</v>
      </c>
      <c r="L6" s="15"/>
      <c r="M6" s="15"/>
      <c r="N6" s="15" t="s">
        <v>113</v>
      </c>
      <c r="O6" s="16">
        <f>COUNTIF(A3:M3, "&gt;=0" )</f>
        <v>7</v>
      </c>
      <c r="Q6" s="217"/>
      <c r="R6" s="217"/>
      <c r="S6" s="2" t="s">
        <v>100</v>
      </c>
      <c r="T6" s="15"/>
      <c r="U6" s="15"/>
      <c r="V6" s="15">
        <f t="shared" ref="V6:AB6" si="2">E6*E10</f>
        <v>7.6919999999999993</v>
      </c>
      <c r="W6" s="15">
        <f t="shared" si="2"/>
        <v>9.3733200000000014</v>
      </c>
      <c r="X6" s="15">
        <f t="shared" si="2"/>
        <v>8.8977800000000009</v>
      </c>
      <c r="Y6" s="15">
        <f t="shared" si="2"/>
        <v>10.346</v>
      </c>
      <c r="Z6" s="15">
        <f t="shared" si="2"/>
        <v>11.292999999999999</v>
      </c>
      <c r="AA6" s="15">
        <f t="shared" si="2"/>
        <v>13.158180000000002</v>
      </c>
      <c r="AB6" s="15">
        <f t="shared" si="2"/>
        <v>12.1296</v>
      </c>
      <c r="AC6" s="15"/>
      <c r="AD6" s="21">
        <f>SUM(T6:AC6)</f>
        <v>72.889880000000005</v>
      </c>
      <c r="AG6" s="20" t="s">
        <v>64</v>
      </c>
      <c r="AH6" s="3" t="s">
        <v>182</v>
      </c>
      <c r="AI6" s="33">
        <v>8.4875799999999995</v>
      </c>
      <c r="AJ6" s="21">
        <v>87.239180000000005</v>
      </c>
      <c r="AK6" s="21">
        <v>79.21754</v>
      </c>
      <c r="AL6" s="21">
        <v>70.729959999999991</v>
      </c>
      <c r="AM6" s="15">
        <f>((Table18[[#This Row],[Ipsilateral Hemisphere]]-Table18[[#This Row],[Contralateral Hemisphere]])/Table18[[#This Row],[Contralateral Hemisphere]])*100</f>
        <v>-9.1949970185414447</v>
      </c>
      <c r="AN6" s="15">
        <f>(Table18[[#This Row],[Contralateral Hemisphere]]-Table18[[#This Row],[Ipsilateral Hemisphere]])/Table18[[#This Row],[Contralateral Hemisphere]]*100</f>
        <v>9.1949970185414447</v>
      </c>
      <c r="AO6" s="15" t="str">
        <f>IF(Table18[[#This Row],[(ipsi-contra) /contra *100]]&gt;0,"Oedema","Contraction")</f>
        <v>Contraction</v>
      </c>
      <c r="AP6" s="15">
        <f>Table18[[#This Row],[Contralateral Hemisphere]]-Table18[[#This Row],[Ipsilateral Hemisphere]]</f>
        <v>8.021640000000005</v>
      </c>
      <c r="AQ6" s="15">
        <f>Table18[[#This Row],[Contralateral Hemisphere]]-Table18[[#This Row],[Healthy Ipsilateral Hemisphere]]</f>
        <v>16.509220000000013</v>
      </c>
      <c r="AR6" s="7">
        <v>7</v>
      </c>
      <c r="AS6" s="7">
        <v>5</v>
      </c>
      <c r="AT6" s="7">
        <f>Table18[[#This Row],['#sections of lesion]]-Table18[[#This Row],[cortex]]</f>
        <v>2</v>
      </c>
      <c r="AU6" s="44">
        <f>Table18[[#This Row],[Ipsilateral Hemisphere]]/Table18[[#This Row],[Contralateral Hemisphere]]</f>
        <v>0.9080500298145856</v>
      </c>
      <c r="AV6" s="44">
        <f>Table18[[#This Row],[Contralateral Hemisphere]]/Table18[[#This Row],[Ipsilateral Hemisphere]]</f>
        <v>1.1012609076222262</v>
      </c>
    </row>
    <row r="7" spans="1:48" ht="16.2" thickBot="1" x14ac:dyDescent="0.35">
      <c r="A7" s="217"/>
      <c r="B7" s="2" t="s">
        <v>114</v>
      </c>
      <c r="C7" s="15"/>
      <c r="D7" s="15"/>
      <c r="E7" s="37">
        <v>15.882999999999999</v>
      </c>
      <c r="F7" s="15">
        <v>16.876999999999999</v>
      </c>
      <c r="G7" s="15">
        <v>18.106000000000002</v>
      </c>
      <c r="H7" s="15">
        <v>17.794</v>
      </c>
      <c r="I7" s="15">
        <v>18.923999999999999</v>
      </c>
      <c r="J7" s="15">
        <v>22.581</v>
      </c>
      <c r="K7" s="38">
        <v>24.364000000000001</v>
      </c>
      <c r="L7" s="15"/>
      <c r="M7" s="15"/>
      <c r="N7" s="15"/>
      <c r="O7" s="15"/>
      <c r="Q7" s="217"/>
      <c r="R7" s="217"/>
      <c r="S7" s="2" t="s">
        <v>114</v>
      </c>
      <c r="T7" s="15"/>
      <c r="U7" s="15"/>
      <c r="V7" s="15">
        <f t="shared" ref="V7:AB7" si="3">E7*E10</f>
        <v>7.6238399999999995</v>
      </c>
      <c r="W7" s="15">
        <f t="shared" si="3"/>
        <v>9.1135800000000007</v>
      </c>
      <c r="X7" s="15">
        <f t="shared" si="3"/>
        <v>8.3287600000000008</v>
      </c>
      <c r="Y7" s="15">
        <f t="shared" si="3"/>
        <v>8.8970000000000002</v>
      </c>
      <c r="Z7" s="15">
        <f t="shared" si="3"/>
        <v>9.4619999999999997</v>
      </c>
      <c r="AA7" s="15">
        <f t="shared" si="3"/>
        <v>12.19374</v>
      </c>
      <c r="AB7" s="15">
        <f t="shared" si="3"/>
        <v>11.69472</v>
      </c>
      <c r="AC7" s="15"/>
      <c r="AD7" s="21">
        <f>SUM(T7:AC7)</f>
        <v>67.313639999999992</v>
      </c>
      <c r="AG7" s="20" t="s">
        <v>65</v>
      </c>
      <c r="AH7" s="3" t="s">
        <v>181</v>
      </c>
      <c r="AI7" s="33">
        <v>11.96902</v>
      </c>
      <c r="AJ7" s="21">
        <v>77.25048000000001</v>
      </c>
      <c r="AK7" s="21">
        <v>81.200360000000003</v>
      </c>
      <c r="AL7" s="21">
        <v>69.231340000000003</v>
      </c>
      <c r="AM7" s="15">
        <f>((Table18[[#This Row],[Ipsilateral Hemisphere]]-Table18[[#This Row],[Contralateral Hemisphere]])/Table18[[#This Row],[Contralateral Hemisphere]])*100</f>
        <v>5.113081498004922</v>
      </c>
      <c r="AN7" s="15">
        <f>(Table18[[#This Row],[Contralateral Hemisphere]]-Table18[[#This Row],[Ipsilateral Hemisphere]])/Table18[[#This Row],[Contralateral Hemisphere]]*100</f>
        <v>-5.113081498004922</v>
      </c>
      <c r="AO7" s="15" t="str">
        <f>IF(Table18[[#This Row],[(ipsi-contra) /contra *100]]&gt;0,"Oedema","Contraction")</f>
        <v>Oedema</v>
      </c>
      <c r="AP7" s="15">
        <f>Table18[[#This Row],[Contralateral Hemisphere]]-Table18[[#This Row],[Ipsilateral Hemisphere]]</f>
        <v>-3.9498799999999932</v>
      </c>
      <c r="AQ7" s="15">
        <f>Table18[[#This Row],[Contralateral Hemisphere]]-Table18[[#This Row],[Healthy Ipsilateral Hemisphere]]</f>
        <v>8.0191400000000073</v>
      </c>
      <c r="AR7" s="7">
        <v>7</v>
      </c>
      <c r="AS7" s="7">
        <v>5</v>
      </c>
      <c r="AT7" s="7">
        <f>Table18[[#This Row],['#sections of lesion]]-Table18[[#This Row],[cortex]]</f>
        <v>2</v>
      </c>
      <c r="AU7" s="44">
        <f>Table18[[#This Row],[Ipsilateral Hemisphere]]/Table18[[#This Row],[Contralateral Hemisphere]]</f>
        <v>1.0511308149800491</v>
      </c>
      <c r="AV7" s="44">
        <f>Table18[[#This Row],[Contralateral Hemisphere]]/Table18[[#This Row],[Ipsilateral Hemisphere]]</f>
        <v>0.95135637329686729</v>
      </c>
    </row>
    <row r="8" spans="1:48" ht="16.2" thickBot="1" x14ac:dyDescent="0.35">
      <c r="A8" s="217"/>
      <c r="C8" s="15"/>
      <c r="D8" s="15"/>
      <c r="E8" s="37"/>
      <c r="F8" s="15"/>
      <c r="G8" s="15"/>
      <c r="H8" s="15"/>
      <c r="I8" s="15"/>
      <c r="J8" s="15"/>
      <c r="K8" s="38"/>
      <c r="L8" s="15"/>
      <c r="M8" s="15"/>
      <c r="N8" s="15"/>
      <c r="O8" s="15"/>
      <c r="Q8" s="217"/>
      <c r="R8" s="22"/>
      <c r="S8" s="1" t="s">
        <v>115</v>
      </c>
      <c r="T8" s="25"/>
      <c r="U8" s="25"/>
      <c r="V8" s="25"/>
      <c r="W8" s="25"/>
      <c r="X8" s="25"/>
      <c r="Y8" s="25"/>
      <c r="Z8" s="25"/>
      <c r="AA8" s="25"/>
      <c r="AB8" s="25"/>
      <c r="AC8" s="25"/>
      <c r="AD8" s="33">
        <f>(AD5-AD6)/AD5*100</f>
        <v>4.5815338978945928</v>
      </c>
      <c r="AE8" s="25"/>
      <c r="AG8" s="20" t="s">
        <v>66</v>
      </c>
      <c r="AH8" s="3" t="s">
        <v>183</v>
      </c>
      <c r="AI8" s="33">
        <v>4.5993400000000007</v>
      </c>
      <c r="AJ8" s="21">
        <v>77.511319999999998</v>
      </c>
      <c r="AK8" s="21">
        <v>77.885660000000001</v>
      </c>
      <c r="AL8" s="21">
        <v>73.286320000000003</v>
      </c>
      <c r="AM8" s="15">
        <f>((Table18[[#This Row],[Ipsilateral Hemisphere]]-Table18[[#This Row],[Contralateral Hemisphere]])/Table18[[#This Row],[Contralateral Hemisphere]])*100</f>
        <v>0.48294881315400601</v>
      </c>
      <c r="AN8" s="15">
        <f>(Table18[[#This Row],[Contralateral Hemisphere]]-Table18[[#This Row],[Ipsilateral Hemisphere]])/Table18[[#This Row],[Contralateral Hemisphere]]*100</f>
        <v>-0.48294881315400601</v>
      </c>
      <c r="AO8" s="15" t="str">
        <f>IF(Table18[[#This Row],[(ipsi-contra) /contra *100]]&gt;0,"Oedema","Contraction")</f>
        <v>Oedema</v>
      </c>
      <c r="AP8" s="15">
        <f>Table18[[#This Row],[Contralateral Hemisphere]]-Table18[[#This Row],[Ipsilateral Hemisphere]]</f>
        <v>-0.37434000000000367</v>
      </c>
      <c r="AQ8" s="15">
        <f>Table18[[#This Row],[Contralateral Hemisphere]]-Table18[[#This Row],[Healthy Ipsilateral Hemisphere]]</f>
        <v>4.2249999999999943</v>
      </c>
      <c r="AR8" s="7">
        <v>5</v>
      </c>
      <c r="AS8" s="7">
        <v>5</v>
      </c>
      <c r="AT8" s="7">
        <f>Table18[[#This Row],['#sections of lesion]]-Table18[[#This Row],[cortex]]</f>
        <v>0</v>
      </c>
      <c r="AU8" s="44">
        <f>Table18[[#This Row],[Ipsilateral Hemisphere]]/Table18[[#This Row],[Contralateral Hemisphere]]</f>
        <v>1.00482948813154</v>
      </c>
      <c r="AV8" s="44">
        <f>Table18[[#This Row],[Contralateral Hemisphere]]/Table18[[#This Row],[Ipsilateral Hemisphere]]</f>
        <v>0.9951937237226981</v>
      </c>
    </row>
    <row r="9" spans="1:48" ht="16.2" thickBot="1" x14ac:dyDescent="0.35">
      <c r="A9" s="217"/>
      <c r="C9" s="15"/>
      <c r="D9" s="15"/>
      <c r="E9" s="37"/>
      <c r="F9" s="15"/>
      <c r="G9" s="15"/>
      <c r="H9" s="15"/>
      <c r="I9" s="15"/>
      <c r="J9" s="15"/>
      <c r="K9" s="38"/>
      <c r="L9" s="15"/>
      <c r="M9" s="15"/>
      <c r="N9" s="15"/>
      <c r="O9" s="15"/>
      <c r="Q9" s="217"/>
      <c r="R9" s="22"/>
      <c r="S9" s="1" t="s">
        <v>103</v>
      </c>
      <c r="T9" s="25"/>
      <c r="U9" s="25"/>
      <c r="V9" s="25"/>
      <c r="W9" s="25"/>
      <c r="X9" s="25"/>
      <c r="Y9" s="25"/>
      <c r="Z9" s="25"/>
      <c r="AA9" s="25"/>
      <c r="AB9" s="25"/>
      <c r="AC9" s="25"/>
      <c r="AD9" s="33">
        <f>AD5-AD7</f>
        <v>9.0760599999999982</v>
      </c>
      <c r="AE9" s="25"/>
      <c r="AG9" s="20" t="s">
        <v>67</v>
      </c>
      <c r="AH9" s="3" t="s">
        <v>182</v>
      </c>
      <c r="AI9" s="33">
        <v>14.127740000000001</v>
      </c>
      <c r="AJ9" s="21">
        <v>82.142400000000009</v>
      </c>
      <c r="AK9" s="21">
        <v>87.08738000000001</v>
      </c>
      <c r="AL9" s="21">
        <v>72.959640000000007</v>
      </c>
      <c r="AM9" s="15">
        <f>((Table18[[#This Row],[Ipsilateral Hemisphere]]-Table18[[#This Row],[Contralateral Hemisphere]])/Table18[[#This Row],[Contralateral Hemisphere]])*100</f>
        <v>6.0200091548335584</v>
      </c>
      <c r="AN9" s="15">
        <f>(Table18[[#This Row],[Contralateral Hemisphere]]-Table18[[#This Row],[Ipsilateral Hemisphere]])/Table18[[#This Row],[Contralateral Hemisphere]]*100</f>
        <v>-6.0200091548335584</v>
      </c>
      <c r="AO9" s="15" t="str">
        <f>IF(Table18[[#This Row],[(ipsi-contra) /contra *100]]&gt;0,"Oedema","Contraction")</f>
        <v>Oedema</v>
      </c>
      <c r="AP9" s="15">
        <f>Table18[[#This Row],[Contralateral Hemisphere]]-Table18[[#This Row],[Ipsilateral Hemisphere]]</f>
        <v>-4.944980000000001</v>
      </c>
      <c r="AQ9" s="15">
        <f>Table18[[#This Row],[Contralateral Hemisphere]]-Table18[[#This Row],[Healthy Ipsilateral Hemisphere]]</f>
        <v>9.1827600000000018</v>
      </c>
      <c r="AR9" s="7">
        <v>7</v>
      </c>
      <c r="AS9" s="7">
        <v>2</v>
      </c>
      <c r="AT9" s="7">
        <f>Table18[[#This Row],['#sections of lesion]]-Table18[[#This Row],[cortex]]</f>
        <v>5</v>
      </c>
      <c r="AU9" s="44">
        <f>Table18[[#This Row],[Ipsilateral Hemisphere]]/Table18[[#This Row],[Contralateral Hemisphere]]</f>
        <v>1.0602000915483356</v>
      </c>
      <c r="AV9" s="44">
        <f>Table18[[#This Row],[Contralateral Hemisphere]]/Table18[[#This Row],[Ipsilateral Hemisphere]]</f>
        <v>0.94321817925857909</v>
      </c>
    </row>
    <row r="10" spans="1:48" ht="16.2" thickBot="1" x14ac:dyDescent="0.35">
      <c r="A10" s="218"/>
      <c r="B10" s="2" t="s">
        <v>32</v>
      </c>
      <c r="C10" s="15"/>
      <c r="D10" s="15"/>
      <c r="E10" s="37">
        <v>0.48</v>
      </c>
      <c r="F10" s="15">
        <v>0.54</v>
      </c>
      <c r="G10" s="15">
        <v>0.46</v>
      </c>
      <c r="H10" s="15">
        <v>0.5</v>
      </c>
      <c r="I10" s="15">
        <v>0.5</v>
      </c>
      <c r="J10" s="15">
        <v>0.54</v>
      </c>
      <c r="K10" s="38">
        <v>0.48</v>
      </c>
      <c r="L10" s="15"/>
      <c r="M10" s="15"/>
      <c r="N10" s="15"/>
      <c r="O10" s="15"/>
      <c r="P10" s="16"/>
      <c r="Q10" s="218"/>
      <c r="R10" s="22"/>
      <c r="S10" s="2" t="s">
        <v>97</v>
      </c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39"/>
      <c r="AG10" s="20" t="s">
        <v>57</v>
      </c>
      <c r="AH10" s="3" t="s">
        <v>181</v>
      </c>
      <c r="AI10" s="33">
        <v>9.600579999999999</v>
      </c>
      <c r="AJ10" s="21">
        <v>75.432400000000001</v>
      </c>
      <c r="AK10" s="21">
        <v>69.391900000000007</v>
      </c>
      <c r="AL10" s="21">
        <v>59.791319999999999</v>
      </c>
      <c r="AM10" s="15">
        <f>((Table18[[#This Row],[Ipsilateral Hemisphere]]-Table18[[#This Row],[Contralateral Hemisphere]])/Table18[[#This Row],[Contralateral Hemisphere]])*100</f>
        <v>-8.0078321782151889</v>
      </c>
      <c r="AN10" s="15">
        <f>(Table18[[#This Row],[Contralateral Hemisphere]]-Table18[[#This Row],[Ipsilateral Hemisphere]])/Table18[[#This Row],[Contralateral Hemisphere]]*100</f>
        <v>8.0078321782151889</v>
      </c>
      <c r="AO10" s="15" t="str">
        <f>IF(Table18[[#This Row],[(ipsi-contra) /contra *100]]&gt;0,"Oedema","Contraction")</f>
        <v>Contraction</v>
      </c>
      <c r="AP10" s="15">
        <f>Table18[[#This Row],[Contralateral Hemisphere]]-Table18[[#This Row],[Ipsilateral Hemisphere]]</f>
        <v>6.0404999999999944</v>
      </c>
      <c r="AQ10" s="15">
        <f>Table18[[#This Row],[Contralateral Hemisphere]]-Table18[[#This Row],[Healthy Ipsilateral Hemisphere]]</f>
        <v>15.641080000000002</v>
      </c>
      <c r="AR10" s="7">
        <v>7</v>
      </c>
      <c r="AS10" s="7">
        <v>3</v>
      </c>
      <c r="AT10" s="7">
        <f>Table18[[#This Row],['#sections of lesion]]-Table18[[#This Row],[cortex]]</f>
        <v>4</v>
      </c>
      <c r="AU10" s="44">
        <f>Table18[[#This Row],[Ipsilateral Hemisphere]]/Table18[[#This Row],[Contralateral Hemisphere]]</f>
        <v>0.91992167821784809</v>
      </c>
      <c r="AV10" s="44">
        <f>Table18[[#This Row],[Contralateral Hemisphere]]/Table18[[#This Row],[Ipsilateral Hemisphere]]</f>
        <v>1.0870490648043936</v>
      </c>
    </row>
    <row r="11" spans="1:48" ht="15.75" customHeight="1" thickBot="1" x14ac:dyDescent="0.35">
      <c r="A11" s="216" t="s">
        <v>116</v>
      </c>
      <c r="B11" s="13" t="s">
        <v>98</v>
      </c>
      <c r="C11" s="14"/>
      <c r="D11" s="14"/>
      <c r="E11" s="34">
        <v>1.339</v>
      </c>
      <c r="F11" s="14">
        <v>1.421</v>
      </c>
      <c r="G11" s="14">
        <v>1.3280000000000001</v>
      </c>
      <c r="H11" s="14">
        <v>1.637</v>
      </c>
      <c r="I11" s="14">
        <v>1.6930000000000001</v>
      </c>
      <c r="J11" s="14">
        <v>2.681</v>
      </c>
      <c r="K11" s="35">
        <v>2.1840000000000002</v>
      </c>
      <c r="L11" s="14"/>
      <c r="M11" s="14"/>
      <c r="N11" s="15" t="s">
        <v>109</v>
      </c>
      <c r="O11" s="16">
        <f t="shared" ref="O11" si="4">COUNTIF(A11:L11, "&gt;0" )</f>
        <v>7</v>
      </c>
      <c r="Q11" s="216" t="s">
        <v>116</v>
      </c>
      <c r="R11" s="216" t="s">
        <v>2</v>
      </c>
      <c r="S11" s="36" t="s">
        <v>98</v>
      </c>
      <c r="T11" s="18"/>
      <c r="U11" s="18"/>
      <c r="V11" s="18">
        <f t="shared" ref="V11:AB11" si="5">E11*E18</f>
        <v>0.61594000000000004</v>
      </c>
      <c r="W11" s="18">
        <f t="shared" si="5"/>
        <v>0.73892000000000002</v>
      </c>
      <c r="X11" s="18">
        <f t="shared" si="5"/>
        <v>0.63744000000000001</v>
      </c>
      <c r="Y11" s="18">
        <f t="shared" si="5"/>
        <v>0.85124</v>
      </c>
      <c r="Z11" s="18">
        <f t="shared" si="5"/>
        <v>0.81264000000000003</v>
      </c>
      <c r="AA11" s="18">
        <f t="shared" si="5"/>
        <v>1.3405</v>
      </c>
      <c r="AB11" s="18">
        <f t="shared" si="5"/>
        <v>1.4414400000000003</v>
      </c>
      <c r="AC11" s="18"/>
      <c r="AD11" s="33">
        <f>SUM(T11:AC11)</f>
        <v>6.4381199999999996</v>
      </c>
      <c r="AE11" s="25"/>
      <c r="AG11" s="20" t="s">
        <v>58</v>
      </c>
      <c r="AH11" s="3" t="s">
        <v>183</v>
      </c>
      <c r="AI11" s="33">
        <v>10.17074</v>
      </c>
      <c r="AJ11" s="21">
        <v>76.177440000000004</v>
      </c>
      <c r="AK11" s="21">
        <v>71.996119999999991</v>
      </c>
      <c r="AL11" s="21">
        <v>61.825380000000003</v>
      </c>
      <c r="AM11" s="15">
        <f>((Table18[[#This Row],[Ipsilateral Hemisphere]]-Table18[[#This Row],[Contralateral Hemisphere]])/Table18[[#This Row],[Contralateral Hemisphere]])*100</f>
        <v>-5.4889216544951021</v>
      </c>
      <c r="AN11" s="15">
        <f>(Table18[[#This Row],[Contralateral Hemisphere]]-Table18[[#This Row],[Ipsilateral Hemisphere]])/Table18[[#This Row],[Contralateral Hemisphere]]*100</f>
        <v>5.4889216544951021</v>
      </c>
      <c r="AO11" s="15" t="str">
        <f>IF(Table18[[#This Row],[(ipsi-contra) /contra *100]]&gt;0,"Oedema","Contraction")</f>
        <v>Contraction</v>
      </c>
      <c r="AP11" s="15">
        <f>Table18[[#This Row],[Contralateral Hemisphere]]-Table18[[#This Row],[Ipsilateral Hemisphere]]</f>
        <v>4.1813200000000137</v>
      </c>
      <c r="AQ11" s="15">
        <f>Table18[[#This Row],[Contralateral Hemisphere]]-Table18[[#This Row],[Healthy Ipsilateral Hemisphere]]</f>
        <v>14.352060000000002</v>
      </c>
      <c r="AR11" s="7">
        <v>7</v>
      </c>
      <c r="AS11" s="7">
        <v>3</v>
      </c>
      <c r="AT11" s="7">
        <f>Table18[[#This Row],['#sections of lesion]]-Table18[[#This Row],[cortex]]</f>
        <v>4</v>
      </c>
      <c r="AU11" s="44">
        <f>Table18[[#This Row],[Ipsilateral Hemisphere]]/Table18[[#This Row],[Contralateral Hemisphere]]</f>
        <v>0.94511078345504895</v>
      </c>
      <c r="AV11" s="44">
        <f>Table18[[#This Row],[Contralateral Hemisphere]]/Table18[[#This Row],[Ipsilateral Hemisphere]]</f>
        <v>1.0580770185948911</v>
      </c>
    </row>
    <row r="12" spans="1:48" ht="15.75" customHeight="1" thickBot="1" x14ac:dyDescent="0.35">
      <c r="A12" s="217"/>
      <c r="B12" s="2" t="s">
        <v>110</v>
      </c>
      <c r="C12" s="15"/>
      <c r="D12" s="15"/>
      <c r="E12" s="37" t="s">
        <v>111</v>
      </c>
      <c r="F12" s="15" t="s">
        <v>111</v>
      </c>
      <c r="G12" s="15" t="s">
        <v>111</v>
      </c>
      <c r="H12" s="15" t="s">
        <v>111</v>
      </c>
      <c r="I12" s="15" t="s">
        <v>111</v>
      </c>
      <c r="J12" s="15" t="s">
        <v>117</v>
      </c>
      <c r="K12" s="38" t="s">
        <v>111</v>
      </c>
      <c r="L12" s="15"/>
      <c r="M12" s="15"/>
      <c r="N12" s="15" t="s">
        <v>105</v>
      </c>
      <c r="O12" s="15">
        <f t="shared" ref="O12" si="6">COUNTIF(A12:L12,"Cortex")</f>
        <v>6</v>
      </c>
      <c r="Q12" s="217"/>
      <c r="R12" s="21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21"/>
      <c r="AG12" s="20" t="s">
        <v>59</v>
      </c>
      <c r="AH12" s="3" t="s">
        <v>182</v>
      </c>
      <c r="AI12" s="33">
        <v>4.9841199999999999</v>
      </c>
      <c r="AJ12" s="21">
        <v>80.907560000000004</v>
      </c>
      <c r="AK12" s="21">
        <v>81.239479999999986</v>
      </c>
      <c r="AL12" s="21">
        <v>76.255359999999996</v>
      </c>
      <c r="AM12" s="15">
        <f>((Table18[[#This Row],[Ipsilateral Hemisphere]]-Table18[[#This Row],[Contralateral Hemisphere]])/Table18[[#This Row],[Contralateral Hemisphere]])*100</f>
        <v>0.41024596465396118</v>
      </c>
      <c r="AN12" s="15">
        <f>(Table18[[#This Row],[Contralateral Hemisphere]]-Table18[[#This Row],[Ipsilateral Hemisphere]])/Table18[[#This Row],[Contralateral Hemisphere]]*100</f>
        <v>-0.41024596465396118</v>
      </c>
      <c r="AO12" s="15" t="str">
        <f>IF(Table18[[#This Row],[(ipsi-contra) /contra *100]]&gt;0,"Oedema","Contraction")</f>
        <v>Oedema</v>
      </c>
      <c r="AP12" s="15">
        <f>Table18[[#This Row],[Contralateral Hemisphere]]-Table18[[#This Row],[Ipsilateral Hemisphere]]</f>
        <v>-0.33191999999998245</v>
      </c>
      <c r="AQ12" s="15">
        <f>Table18[[#This Row],[Contralateral Hemisphere]]-Table18[[#This Row],[Healthy Ipsilateral Hemisphere]]</f>
        <v>4.6522000000000077</v>
      </c>
      <c r="AR12" s="7">
        <v>7</v>
      </c>
      <c r="AS12" s="7">
        <v>6</v>
      </c>
      <c r="AT12" s="7">
        <f>Table18[[#This Row],['#sections of lesion]]-Table18[[#This Row],[cortex]]</f>
        <v>1</v>
      </c>
      <c r="AU12" s="44">
        <f>Table18[[#This Row],[Ipsilateral Hemisphere]]/Table18[[#This Row],[Contralateral Hemisphere]]</f>
        <v>1.0041024596465395</v>
      </c>
      <c r="AV12" s="44">
        <f>Table18[[#This Row],[Contralateral Hemisphere]]/Table18[[#This Row],[Ipsilateral Hemisphere]]</f>
        <v>0.99591430176559492</v>
      </c>
    </row>
    <row r="13" spans="1:48" ht="15.75" customHeight="1" thickBot="1" x14ac:dyDescent="0.35">
      <c r="A13" s="217"/>
      <c r="B13" s="2" t="s">
        <v>99</v>
      </c>
      <c r="C13" s="15"/>
      <c r="D13" s="15"/>
      <c r="E13" s="37">
        <v>18.908000000000001</v>
      </c>
      <c r="F13" s="15">
        <v>19.532</v>
      </c>
      <c r="G13" s="15">
        <v>22.474</v>
      </c>
      <c r="H13" s="15">
        <v>23.847999999999999</v>
      </c>
      <c r="I13" s="15">
        <v>23.771999999999998</v>
      </c>
      <c r="J13" s="15">
        <v>25.606999999999999</v>
      </c>
      <c r="K13" s="38">
        <v>24.562999999999999</v>
      </c>
      <c r="L13" s="15"/>
      <c r="M13" s="15"/>
      <c r="N13" s="15" t="s">
        <v>106</v>
      </c>
      <c r="O13" s="15">
        <f t="shared" ref="O13" si="7">O11-O12</f>
        <v>1</v>
      </c>
      <c r="Q13" s="217"/>
      <c r="R13" s="217"/>
      <c r="S13" s="2" t="s">
        <v>99</v>
      </c>
      <c r="T13" s="15"/>
      <c r="U13" s="15"/>
      <c r="V13" s="15">
        <f t="shared" ref="V13:AB13" si="8">E13*E18</f>
        <v>8.6976800000000001</v>
      </c>
      <c r="W13" s="15">
        <f t="shared" si="8"/>
        <v>10.156640000000001</v>
      </c>
      <c r="X13" s="15">
        <f t="shared" si="8"/>
        <v>10.787519999999999</v>
      </c>
      <c r="Y13" s="15">
        <f t="shared" si="8"/>
        <v>12.40096</v>
      </c>
      <c r="Z13" s="15">
        <f t="shared" si="8"/>
        <v>11.410559999999998</v>
      </c>
      <c r="AA13" s="15">
        <f t="shared" si="8"/>
        <v>12.8035</v>
      </c>
      <c r="AB13" s="15">
        <f t="shared" si="8"/>
        <v>16.211580000000001</v>
      </c>
      <c r="AC13" s="15"/>
      <c r="AD13" s="21">
        <f>SUM(T13:AC13)</f>
        <v>82.468439999999987</v>
      </c>
      <c r="AG13" s="20" t="s">
        <v>69</v>
      </c>
      <c r="AH13" s="3" t="s">
        <v>181</v>
      </c>
      <c r="AI13" s="33">
        <v>8.3313400000000009</v>
      </c>
      <c r="AJ13" s="21">
        <v>78.132680000000008</v>
      </c>
      <c r="AK13" s="21">
        <v>75.603500000000011</v>
      </c>
      <c r="AL13" s="21">
        <v>67.27216</v>
      </c>
      <c r="AM13" s="15">
        <f>((Table18[[#This Row],[Ipsilateral Hemisphere]]-Table18[[#This Row],[Contralateral Hemisphere]])/Table18[[#This Row],[Contralateral Hemisphere]])*100</f>
        <v>-3.2370321867879053</v>
      </c>
      <c r="AN13" s="15">
        <f>(Table18[[#This Row],[Contralateral Hemisphere]]-Table18[[#This Row],[Ipsilateral Hemisphere]])/Table18[[#This Row],[Contralateral Hemisphere]]*100</f>
        <v>3.2370321867879053</v>
      </c>
      <c r="AO13" s="15" t="str">
        <f>IF(Table18[[#This Row],[(ipsi-contra) /contra *100]]&gt;0,"Oedema","Contraction")</f>
        <v>Contraction</v>
      </c>
      <c r="AP13" s="15">
        <f>Table18[[#This Row],[Contralateral Hemisphere]]-Table18[[#This Row],[Ipsilateral Hemisphere]]</f>
        <v>2.5291799999999967</v>
      </c>
      <c r="AQ13" s="15">
        <f>Table18[[#This Row],[Contralateral Hemisphere]]-Table18[[#This Row],[Healthy Ipsilateral Hemisphere]]</f>
        <v>10.860520000000008</v>
      </c>
      <c r="AR13" s="7">
        <v>7</v>
      </c>
      <c r="AS13" s="7">
        <v>4</v>
      </c>
      <c r="AT13" s="7">
        <f>Table18[[#This Row],['#sections of lesion]]-Table18[[#This Row],[cortex]]</f>
        <v>3</v>
      </c>
      <c r="AU13" s="44">
        <f>Table18[[#This Row],[Ipsilateral Hemisphere]]/Table18[[#This Row],[Contralateral Hemisphere]]</f>
        <v>0.96762967813212097</v>
      </c>
      <c r="AV13" s="44">
        <f>Table18[[#This Row],[Contralateral Hemisphere]]/Table18[[#This Row],[Ipsilateral Hemisphere]]</f>
        <v>1.0334532131448941</v>
      </c>
    </row>
    <row r="14" spans="1:48" ht="15.75" customHeight="1" thickBot="1" x14ac:dyDescent="0.35">
      <c r="A14" s="217"/>
      <c r="B14" s="2" t="s">
        <v>100</v>
      </c>
      <c r="C14" s="15"/>
      <c r="D14" s="15"/>
      <c r="E14" s="37">
        <v>17.521000000000001</v>
      </c>
      <c r="F14" s="15">
        <v>18.739000000000001</v>
      </c>
      <c r="G14" s="15">
        <v>21.474</v>
      </c>
      <c r="H14" s="15">
        <v>22.895</v>
      </c>
      <c r="I14" s="15">
        <v>27.167000000000002</v>
      </c>
      <c r="J14" s="15">
        <v>25.768999999999998</v>
      </c>
      <c r="K14" s="38">
        <v>25.595000000000002</v>
      </c>
      <c r="L14" s="15"/>
      <c r="M14" s="15"/>
      <c r="N14" s="15" t="s">
        <v>113</v>
      </c>
      <c r="O14" s="16">
        <f t="shared" ref="O14" si="9">COUNTIF(A11:M11, "&gt;=0" )</f>
        <v>7</v>
      </c>
      <c r="Q14" s="217"/>
      <c r="R14" s="217"/>
      <c r="S14" s="2" t="s">
        <v>100</v>
      </c>
      <c r="T14" s="15"/>
      <c r="U14" s="15"/>
      <c r="V14" s="15">
        <f t="shared" ref="V14:AB14" si="10">E14*E18</f>
        <v>8.0596600000000009</v>
      </c>
      <c r="W14" s="15">
        <f t="shared" si="10"/>
        <v>9.7442800000000016</v>
      </c>
      <c r="X14" s="15">
        <f t="shared" si="10"/>
        <v>10.30752</v>
      </c>
      <c r="Y14" s="15">
        <f t="shared" si="10"/>
        <v>11.9054</v>
      </c>
      <c r="Z14" s="15">
        <f t="shared" si="10"/>
        <v>13.04016</v>
      </c>
      <c r="AA14" s="15">
        <f t="shared" si="10"/>
        <v>12.884499999999999</v>
      </c>
      <c r="AB14" s="15">
        <f t="shared" si="10"/>
        <v>16.892700000000001</v>
      </c>
      <c r="AC14" s="15"/>
      <c r="AD14" s="21">
        <f>SUM(T14:AC14)</f>
        <v>82.834220000000016</v>
      </c>
      <c r="AG14" s="20" t="s">
        <v>70</v>
      </c>
      <c r="AH14" s="3" t="s">
        <v>183</v>
      </c>
      <c r="AI14" s="33">
        <v>3.0796200000000002</v>
      </c>
      <c r="AJ14" s="21">
        <v>80.4602</v>
      </c>
      <c r="AK14" s="21">
        <v>74.156419999999997</v>
      </c>
      <c r="AL14" s="21">
        <v>71.076799999999992</v>
      </c>
      <c r="AM14" s="15">
        <f>((Table18[[#This Row],[Ipsilateral Hemisphere]]-Table18[[#This Row],[Contralateral Hemisphere]])/Table18[[#This Row],[Contralateral Hemisphere]])*100</f>
        <v>-7.8346561405514814</v>
      </c>
      <c r="AN14" s="15">
        <f>(Table18[[#This Row],[Contralateral Hemisphere]]-Table18[[#This Row],[Ipsilateral Hemisphere]])/Table18[[#This Row],[Contralateral Hemisphere]]*100</f>
        <v>7.8346561405514814</v>
      </c>
      <c r="AO14" s="15" t="str">
        <f>IF(Table18[[#This Row],[(ipsi-contra) /contra *100]]&gt;0,"Oedema","Contraction")</f>
        <v>Contraction</v>
      </c>
      <c r="AP14" s="15">
        <f>Table18[[#This Row],[Contralateral Hemisphere]]-Table18[[#This Row],[Ipsilateral Hemisphere]]</f>
        <v>6.3037800000000033</v>
      </c>
      <c r="AQ14" s="15">
        <f>Table18[[#This Row],[Contralateral Hemisphere]]-Table18[[#This Row],[Healthy Ipsilateral Hemisphere]]</f>
        <v>9.3834000000000088</v>
      </c>
      <c r="AR14" s="7">
        <v>7</v>
      </c>
      <c r="AS14" s="7">
        <v>5</v>
      </c>
      <c r="AT14" s="7">
        <f>Table18[[#This Row],['#sections of lesion]]-Table18[[#This Row],[cortex]]</f>
        <v>2</v>
      </c>
      <c r="AU14" s="44">
        <f>Table18[[#This Row],[Ipsilateral Hemisphere]]/Table18[[#This Row],[Contralateral Hemisphere]]</f>
        <v>0.92165343859448523</v>
      </c>
      <c r="AV14" s="44">
        <f>Table18[[#This Row],[Contralateral Hemisphere]]/Table18[[#This Row],[Ipsilateral Hemisphere]]</f>
        <v>1.0850065307899168</v>
      </c>
    </row>
    <row r="15" spans="1:48" ht="16.2" thickBot="1" x14ac:dyDescent="0.35">
      <c r="A15" s="217"/>
      <c r="B15" s="2" t="s">
        <v>114</v>
      </c>
      <c r="C15" s="15"/>
      <c r="D15" s="15"/>
      <c r="E15" s="37">
        <v>16.182000000000002</v>
      </c>
      <c r="F15" s="15">
        <v>17.318000000000001</v>
      </c>
      <c r="G15" s="15">
        <v>20.146000000000001</v>
      </c>
      <c r="H15" s="15">
        <v>21.257999999999999</v>
      </c>
      <c r="I15" s="15">
        <v>25.474</v>
      </c>
      <c r="J15" s="15">
        <v>23.087999999999997</v>
      </c>
      <c r="K15" s="38">
        <v>23.411000000000001</v>
      </c>
      <c r="L15" s="15"/>
      <c r="M15" s="15"/>
      <c r="N15" s="15"/>
      <c r="O15" s="15"/>
      <c r="Q15" s="217"/>
      <c r="R15" s="22"/>
      <c r="S15" s="2" t="s">
        <v>114</v>
      </c>
      <c r="T15" s="15"/>
      <c r="U15" s="15"/>
      <c r="V15" s="15">
        <f t="shared" ref="V15:AB15" si="11">E15*E18</f>
        <v>7.4437200000000017</v>
      </c>
      <c r="W15" s="15">
        <f t="shared" si="11"/>
        <v>9.0053600000000014</v>
      </c>
      <c r="X15" s="15">
        <f t="shared" si="11"/>
        <v>9.6700800000000005</v>
      </c>
      <c r="Y15" s="15">
        <f t="shared" si="11"/>
        <v>11.05416</v>
      </c>
      <c r="Z15" s="15">
        <f t="shared" si="11"/>
        <v>12.22752</v>
      </c>
      <c r="AA15" s="15">
        <f t="shared" si="11"/>
        <v>11.543999999999999</v>
      </c>
      <c r="AB15" s="15">
        <f t="shared" si="11"/>
        <v>15.451260000000001</v>
      </c>
      <c r="AC15" s="15"/>
      <c r="AD15" s="21">
        <f>SUM(T15:AC15)</f>
        <v>76.396100000000004</v>
      </c>
      <c r="AG15" s="20" t="s">
        <v>73</v>
      </c>
      <c r="AH15" s="3" t="s">
        <v>182</v>
      </c>
      <c r="AI15" s="33">
        <v>13.096220000000002</v>
      </c>
      <c r="AJ15" s="21">
        <v>79.586039999999997</v>
      </c>
      <c r="AK15" s="21">
        <v>79.821699999999993</v>
      </c>
      <c r="AL15" s="21">
        <v>66.725480000000005</v>
      </c>
      <c r="AM15" s="15">
        <f>((Table18[[#This Row],[Ipsilateral Hemisphere]]-Table18[[#This Row],[Contralateral Hemisphere]])/Table18[[#This Row],[Contralateral Hemisphere]])*100</f>
        <v>0.29610720674127744</v>
      </c>
      <c r="AN15" s="15">
        <f>(Table18[[#This Row],[Contralateral Hemisphere]]-Table18[[#This Row],[Ipsilateral Hemisphere]])/Table18[[#This Row],[Contralateral Hemisphere]]*100</f>
        <v>-0.29610720674127744</v>
      </c>
      <c r="AO15" s="15" t="str">
        <f>IF(Table18[[#This Row],[(ipsi-contra) /contra *100]]&gt;0,"Oedema","Contraction")</f>
        <v>Oedema</v>
      </c>
      <c r="AP15" s="15">
        <f>Table18[[#This Row],[Contralateral Hemisphere]]-Table18[[#This Row],[Ipsilateral Hemisphere]]</f>
        <v>-0.23565999999999576</v>
      </c>
      <c r="AQ15" s="15">
        <f>Table18[[#This Row],[Contralateral Hemisphere]]-Table18[[#This Row],[Healthy Ipsilateral Hemisphere]]</f>
        <v>12.860559999999992</v>
      </c>
      <c r="AR15" s="7">
        <v>7</v>
      </c>
      <c r="AS15" s="7">
        <v>2</v>
      </c>
      <c r="AT15" s="7">
        <f>Table18[[#This Row],['#sections of lesion]]-Table18[[#This Row],[cortex]]</f>
        <v>5</v>
      </c>
      <c r="AU15" s="44">
        <f>Table18[[#This Row],[Ipsilateral Hemisphere]]/Table18[[#This Row],[Contralateral Hemisphere]]</f>
        <v>1.0029610720674127</v>
      </c>
      <c r="AV15" s="44">
        <f>Table18[[#This Row],[Contralateral Hemisphere]]/Table18[[#This Row],[Ipsilateral Hemisphere]]</f>
        <v>0.99704766999450034</v>
      </c>
    </row>
    <row r="16" spans="1:48" ht="16.2" thickBot="1" x14ac:dyDescent="0.35">
      <c r="A16" s="217"/>
      <c r="C16" s="15"/>
      <c r="D16" s="15"/>
      <c r="E16" s="37"/>
      <c r="F16" s="15"/>
      <c r="G16" s="15"/>
      <c r="H16" s="15"/>
      <c r="I16" s="15"/>
      <c r="J16" s="15"/>
      <c r="K16" s="38"/>
      <c r="L16" s="15"/>
      <c r="M16" s="15"/>
      <c r="N16" s="15"/>
      <c r="O16" s="15"/>
      <c r="Q16" s="217"/>
      <c r="R16" s="22"/>
      <c r="S16" s="1" t="s">
        <v>115</v>
      </c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33">
        <f>(AD13-AD14)/AD13*100</f>
        <v>-0.44353937093999762</v>
      </c>
      <c r="AE16" s="25"/>
      <c r="AG16" s="20" t="s">
        <v>74</v>
      </c>
      <c r="AH16" s="3" t="s">
        <v>181</v>
      </c>
      <c r="AI16" s="33">
        <v>9.7560000000000002</v>
      </c>
      <c r="AJ16" s="21">
        <v>75.155500000000004</v>
      </c>
      <c r="AK16" s="21">
        <v>72.399000000000001</v>
      </c>
      <c r="AL16" s="21">
        <v>62.643000000000001</v>
      </c>
      <c r="AM16" s="15">
        <f>((Table18[[#This Row],[Ipsilateral Hemisphere]]-Table18[[#This Row],[Contralateral Hemisphere]])/Table18[[#This Row],[Contralateral Hemisphere]])*100</f>
        <v>-3.6677289087292384</v>
      </c>
      <c r="AN16" s="15">
        <f>(Table18[[#This Row],[Contralateral Hemisphere]]-Table18[[#This Row],[Ipsilateral Hemisphere]])/Table18[[#This Row],[Contralateral Hemisphere]]*100</f>
        <v>3.6677289087292384</v>
      </c>
      <c r="AO16" s="15" t="str">
        <f>IF(Table18[[#This Row],[(ipsi-contra) /contra *100]]&gt;0,"Oedema","Contraction")</f>
        <v>Contraction</v>
      </c>
      <c r="AP16" s="15">
        <f>Table18[[#This Row],[Contralateral Hemisphere]]-Table18[[#This Row],[Ipsilateral Hemisphere]]</f>
        <v>2.7565000000000026</v>
      </c>
      <c r="AQ16" s="15">
        <f>Table18[[#This Row],[Contralateral Hemisphere]]-Table18[[#This Row],[Healthy Ipsilateral Hemisphere]]</f>
        <v>12.512500000000003</v>
      </c>
      <c r="AR16" s="7">
        <v>7</v>
      </c>
      <c r="AS16" s="7">
        <v>2</v>
      </c>
      <c r="AT16" s="7">
        <f>Table18[[#This Row],['#sections of lesion]]-Table18[[#This Row],[cortex]]</f>
        <v>5</v>
      </c>
      <c r="AU16" s="44">
        <f>Table18[[#This Row],[Ipsilateral Hemisphere]]/Table18[[#This Row],[Contralateral Hemisphere]]</f>
        <v>0.9633227109127076</v>
      </c>
      <c r="AV16" s="44">
        <f>Table18[[#This Row],[Contralateral Hemisphere]]/Table18[[#This Row],[Ipsilateral Hemisphere]]</f>
        <v>1.0380737303001424</v>
      </c>
    </row>
    <row r="17" spans="1:48" ht="16.2" thickBot="1" x14ac:dyDescent="0.35">
      <c r="A17" s="217"/>
      <c r="C17" s="15"/>
      <c r="D17" s="15"/>
      <c r="E17" s="37"/>
      <c r="F17" s="15"/>
      <c r="G17" s="15"/>
      <c r="H17" s="15"/>
      <c r="I17" s="15"/>
      <c r="J17" s="15"/>
      <c r="K17" s="38"/>
      <c r="L17" s="15"/>
      <c r="M17" s="15"/>
      <c r="N17" s="15"/>
      <c r="O17" s="15"/>
      <c r="Q17" s="217"/>
      <c r="R17" s="22"/>
      <c r="S17" s="1" t="s">
        <v>103</v>
      </c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33">
        <f>AD13-AD15</f>
        <v>6.0723399999999828</v>
      </c>
      <c r="AE17" s="25"/>
      <c r="AG17" s="20" t="s">
        <v>75</v>
      </c>
      <c r="AH17" s="3" t="s">
        <v>182</v>
      </c>
      <c r="AI17" s="33">
        <v>10.37598</v>
      </c>
      <c r="AJ17" s="21">
        <v>81.967220000000012</v>
      </c>
      <c r="AK17" s="21">
        <v>80.809979999999996</v>
      </c>
      <c r="AL17" s="21">
        <v>70.433999999999997</v>
      </c>
      <c r="AM17" s="15">
        <f>((Table18[[#This Row],[Ipsilateral Hemisphere]]-Table18[[#This Row],[Contralateral Hemisphere]])/Table18[[#This Row],[Contralateral Hemisphere]])*100</f>
        <v>-1.4118326814060738</v>
      </c>
      <c r="AN17" s="15">
        <f>(Table18[[#This Row],[Contralateral Hemisphere]]-Table18[[#This Row],[Ipsilateral Hemisphere]])/Table18[[#This Row],[Contralateral Hemisphere]]*100</f>
        <v>1.4118326814060738</v>
      </c>
      <c r="AO17" s="15" t="str">
        <f>IF(Table18[[#This Row],[(ipsi-contra) /contra *100]]&gt;0,"Oedema","Contraction")</f>
        <v>Contraction</v>
      </c>
      <c r="AP17" s="15">
        <f>Table18[[#This Row],[Contralateral Hemisphere]]-Table18[[#This Row],[Ipsilateral Hemisphere]]</f>
        <v>1.1572400000000158</v>
      </c>
      <c r="AQ17" s="15">
        <f>Table18[[#This Row],[Contralateral Hemisphere]]-Table18[[#This Row],[Healthy Ipsilateral Hemisphere]]</f>
        <v>11.533220000000014</v>
      </c>
      <c r="AR17" s="7">
        <v>7</v>
      </c>
      <c r="AS17" s="7">
        <v>6</v>
      </c>
      <c r="AT17" s="7">
        <f>Table18[[#This Row],['#sections of lesion]]-Table18[[#This Row],[cortex]]</f>
        <v>1</v>
      </c>
      <c r="AU17" s="44">
        <f>Table18[[#This Row],[Ipsilateral Hemisphere]]/Table18[[#This Row],[Contralateral Hemisphere]]</f>
        <v>0.98588167318593922</v>
      </c>
      <c r="AV17" s="44">
        <f>Table18[[#This Row],[Contralateral Hemisphere]]/Table18[[#This Row],[Ipsilateral Hemisphere]]</f>
        <v>1.0143205084322509</v>
      </c>
    </row>
    <row r="18" spans="1:48" ht="16.2" thickBot="1" x14ac:dyDescent="0.35">
      <c r="A18" s="218"/>
      <c r="B18" s="2" t="s">
        <v>32</v>
      </c>
      <c r="C18" s="15"/>
      <c r="D18" s="15"/>
      <c r="E18" s="37">
        <v>0.46</v>
      </c>
      <c r="F18" s="15">
        <v>0.52</v>
      </c>
      <c r="G18" s="15">
        <v>0.48</v>
      </c>
      <c r="H18" s="15">
        <v>0.52</v>
      </c>
      <c r="I18" s="15">
        <v>0.48</v>
      </c>
      <c r="J18" s="15">
        <v>0.5</v>
      </c>
      <c r="K18" s="38">
        <v>0.66</v>
      </c>
      <c r="L18" s="15"/>
      <c r="M18" s="15"/>
      <c r="N18" s="15"/>
      <c r="O18" s="15"/>
      <c r="P18" s="16"/>
      <c r="Q18" s="218"/>
      <c r="R18" s="22"/>
      <c r="S18" s="2" t="s">
        <v>97</v>
      </c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39"/>
      <c r="AG18" s="20" t="s">
        <v>76</v>
      </c>
      <c r="AH18" s="3" t="s">
        <v>183</v>
      </c>
      <c r="AI18" s="33">
        <v>8.7177399999999992</v>
      </c>
      <c r="AJ18" s="21">
        <v>79.785979999999981</v>
      </c>
      <c r="AK18" s="21">
        <v>77.708699999999993</v>
      </c>
      <c r="AL18" s="21">
        <v>68.990960000000001</v>
      </c>
      <c r="AM18" s="15">
        <f>((Table18[[#This Row],[Ipsilateral Hemisphere]]-Table18[[#This Row],[Contralateral Hemisphere]])/Table18[[#This Row],[Contralateral Hemisphere]])*100</f>
        <v>-2.603565187768563</v>
      </c>
      <c r="AN18" s="15">
        <f>(Table18[[#This Row],[Contralateral Hemisphere]]-Table18[[#This Row],[Ipsilateral Hemisphere]])/Table18[[#This Row],[Contralateral Hemisphere]]*100</f>
        <v>2.603565187768563</v>
      </c>
      <c r="AO18" s="15" t="str">
        <f>IF(Table18[[#This Row],[(ipsi-contra) /contra *100]]&gt;0,"Oedema","Contraction")</f>
        <v>Contraction</v>
      </c>
      <c r="AP18" s="15">
        <f>Table18[[#This Row],[Contralateral Hemisphere]]-Table18[[#This Row],[Ipsilateral Hemisphere]]</f>
        <v>2.0772799999999876</v>
      </c>
      <c r="AQ18" s="15">
        <f>Table18[[#This Row],[Contralateral Hemisphere]]-Table18[[#This Row],[Healthy Ipsilateral Hemisphere]]</f>
        <v>10.79501999999998</v>
      </c>
      <c r="AR18" s="7">
        <v>7</v>
      </c>
      <c r="AS18" s="7">
        <v>1</v>
      </c>
      <c r="AT18" s="7">
        <f>Table18[[#This Row],['#sections of lesion]]-Table18[[#This Row],[cortex]]</f>
        <v>6</v>
      </c>
      <c r="AU18" s="44">
        <f>Table18[[#This Row],[Ipsilateral Hemisphere]]/Table18[[#This Row],[Contralateral Hemisphere]]</f>
        <v>0.97396434812231436</v>
      </c>
      <c r="AV18" s="44">
        <f>Table18[[#This Row],[Contralateral Hemisphere]]/Table18[[#This Row],[Ipsilateral Hemisphere]]</f>
        <v>1.0267316272180591</v>
      </c>
    </row>
    <row r="19" spans="1:48" ht="15.75" customHeight="1" thickBot="1" x14ac:dyDescent="0.35">
      <c r="A19" s="216" t="s">
        <v>118</v>
      </c>
      <c r="B19" s="13" t="s">
        <v>98</v>
      </c>
      <c r="C19" s="14"/>
      <c r="D19" s="14"/>
      <c r="E19" s="34">
        <v>0.58799999999999997</v>
      </c>
      <c r="F19" s="14">
        <v>1.218</v>
      </c>
      <c r="G19" s="14">
        <v>1.369</v>
      </c>
      <c r="H19" s="14">
        <v>0.88500000000000001</v>
      </c>
      <c r="I19" s="14">
        <v>0.39700000000000002</v>
      </c>
      <c r="J19" s="14">
        <v>0.28700000000000003</v>
      </c>
      <c r="K19" s="35">
        <v>0.114</v>
      </c>
      <c r="L19" s="14"/>
      <c r="M19" s="14"/>
      <c r="N19" s="15" t="s">
        <v>109</v>
      </c>
      <c r="O19" s="16">
        <f t="shared" ref="O19" si="12">COUNTIF(A19:L19, "&gt;0" )</f>
        <v>7</v>
      </c>
      <c r="Q19" s="216" t="s">
        <v>118</v>
      </c>
      <c r="R19" s="216" t="s">
        <v>2</v>
      </c>
      <c r="S19" s="36" t="s">
        <v>98</v>
      </c>
      <c r="T19" s="18"/>
      <c r="U19" s="18"/>
      <c r="V19" s="18">
        <f t="shared" ref="V19:AB19" si="13">E19*E26</f>
        <v>0.29399999999999998</v>
      </c>
      <c r="W19" s="18">
        <f t="shared" si="13"/>
        <v>0.60899999999999999</v>
      </c>
      <c r="X19" s="18">
        <f t="shared" si="13"/>
        <v>0.6845</v>
      </c>
      <c r="Y19" s="18">
        <f t="shared" si="13"/>
        <v>0.4425</v>
      </c>
      <c r="Z19" s="18">
        <f t="shared" si="13"/>
        <v>0.19850000000000001</v>
      </c>
      <c r="AA19" s="18">
        <f t="shared" si="13"/>
        <v>0.14350000000000002</v>
      </c>
      <c r="AB19" s="18">
        <f t="shared" si="13"/>
        <v>5.7000000000000002E-2</v>
      </c>
      <c r="AC19" s="18"/>
      <c r="AD19" s="33">
        <f>SUM(T19:AC19)</f>
        <v>2.4289999999999998</v>
      </c>
      <c r="AE19" s="25"/>
      <c r="AG19" s="20" t="s">
        <v>77</v>
      </c>
      <c r="AH19" s="3" t="s">
        <v>182</v>
      </c>
      <c r="AI19" s="33">
        <v>7.3277200000000011</v>
      </c>
      <c r="AJ19" s="21">
        <v>80.097999999999985</v>
      </c>
      <c r="AK19" s="21">
        <v>76.44601999999999</v>
      </c>
      <c r="AL19" s="21">
        <v>69.118300000000005</v>
      </c>
      <c r="AM19" s="15">
        <f>((Table18[[#This Row],[Ipsilateral Hemisphere]]-Table18[[#This Row],[Contralateral Hemisphere]])/Table18[[#This Row],[Contralateral Hemisphere]])*100</f>
        <v>-4.5593897475592344</v>
      </c>
      <c r="AN19" s="15">
        <f>(Table18[[#This Row],[Contralateral Hemisphere]]-Table18[[#This Row],[Ipsilateral Hemisphere]])/Table18[[#This Row],[Contralateral Hemisphere]]*100</f>
        <v>4.5593897475592344</v>
      </c>
      <c r="AO19" s="15" t="str">
        <f>IF(Table18[[#This Row],[(ipsi-contra) /contra *100]]&gt;0,"Oedema","Contraction")</f>
        <v>Contraction</v>
      </c>
      <c r="AP19" s="15">
        <f>Table18[[#This Row],[Contralateral Hemisphere]]-Table18[[#This Row],[Ipsilateral Hemisphere]]</f>
        <v>3.6519799999999947</v>
      </c>
      <c r="AQ19" s="15">
        <f>Table18[[#This Row],[Contralateral Hemisphere]]-Table18[[#This Row],[Healthy Ipsilateral Hemisphere]]</f>
        <v>10.97969999999998</v>
      </c>
      <c r="AR19" s="7">
        <v>7</v>
      </c>
      <c r="AS19" s="7">
        <v>7</v>
      </c>
      <c r="AT19" s="7">
        <f>Table18[[#This Row],['#sections of lesion]]-Table18[[#This Row],[cortex]]</f>
        <v>0</v>
      </c>
      <c r="AU19" s="44">
        <f>Table18[[#This Row],[Ipsilateral Hemisphere]]/Table18[[#This Row],[Contralateral Hemisphere]]</f>
        <v>0.95440610252440761</v>
      </c>
      <c r="AV19" s="44">
        <f>Table18[[#This Row],[Contralateral Hemisphere]]/Table18[[#This Row],[Ipsilateral Hemisphere]]</f>
        <v>1.0477720095827094</v>
      </c>
    </row>
    <row r="20" spans="1:48" ht="15.75" customHeight="1" thickBot="1" x14ac:dyDescent="0.35">
      <c r="A20" s="217"/>
      <c r="B20" s="2" t="s">
        <v>110</v>
      </c>
      <c r="C20" s="15"/>
      <c r="D20" s="15"/>
      <c r="E20" s="37" t="s">
        <v>111</v>
      </c>
      <c r="F20" s="15" t="s">
        <v>111</v>
      </c>
      <c r="G20" s="15" t="s">
        <v>111</v>
      </c>
      <c r="H20" s="15" t="s">
        <v>111</v>
      </c>
      <c r="I20" s="15" t="s">
        <v>111</v>
      </c>
      <c r="J20" s="15" t="s">
        <v>111</v>
      </c>
      <c r="K20" s="38" t="s">
        <v>111</v>
      </c>
      <c r="L20" s="15"/>
      <c r="M20" s="15"/>
      <c r="N20" s="15" t="s">
        <v>105</v>
      </c>
      <c r="O20" s="15">
        <f t="shared" ref="O20" si="14">COUNTIF(A20:L20,"Cortex")</f>
        <v>7</v>
      </c>
      <c r="Q20" s="217"/>
      <c r="R20" s="21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21"/>
      <c r="AG20" s="20" t="s">
        <v>71</v>
      </c>
      <c r="AH20" s="3" t="s">
        <v>183</v>
      </c>
      <c r="AI20" s="33">
        <v>12.59742</v>
      </c>
      <c r="AJ20" s="21">
        <v>79.156059999999997</v>
      </c>
      <c r="AK20" s="21">
        <v>87.294499999999999</v>
      </c>
      <c r="AL20" s="21">
        <v>74.69708</v>
      </c>
      <c r="AM20" s="15">
        <f>((Table18[[#This Row],[Ipsilateral Hemisphere]]-Table18[[#This Row],[Contralateral Hemisphere]])/Table18[[#This Row],[Contralateral Hemisphere]])*100</f>
        <v>10.281512243029786</v>
      </c>
      <c r="AN20" s="15">
        <f>(Table18[[#This Row],[Contralateral Hemisphere]]-Table18[[#This Row],[Ipsilateral Hemisphere]])/Table18[[#This Row],[Contralateral Hemisphere]]*100</f>
        <v>-10.281512243029786</v>
      </c>
      <c r="AO20" s="15" t="str">
        <f>IF(Table18[[#This Row],[(ipsi-contra) /contra *100]]&gt;0,"Oedema","Contraction")</f>
        <v>Oedema</v>
      </c>
      <c r="AP20" s="15">
        <f>Table18[[#This Row],[Contralateral Hemisphere]]-Table18[[#This Row],[Ipsilateral Hemisphere]]</f>
        <v>-8.1384400000000028</v>
      </c>
      <c r="AQ20" s="15">
        <f>Table18[[#This Row],[Contralateral Hemisphere]]-Table18[[#This Row],[Healthy Ipsilateral Hemisphere]]</f>
        <v>4.4589799999999968</v>
      </c>
      <c r="AR20" s="7">
        <v>7</v>
      </c>
      <c r="AS20" s="7">
        <v>2</v>
      </c>
      <c r="AT20" s="7">
        <f>Table18[[#This Row],['#sections of lesion]]-Table18[[#This Row],[cortex]]</f>
        <v>5</v>
      </c>
      <c r="AU20" s="44">
        <f>Table18[[#This Row],[Ipsilateral Hemisphere]]/Table18[[#This Row],[Contralateral Hemisphere]]</f>
        <v>1.1028151224302978</v>
      </c>
      <c r="AV20" s="44">
        <f>Table18[[#This Row],[Contralateral Hemisphere]]/Table18[[#This Row],[Ipsilateral Hemisphere]]</f>
        <v>0.90677030053439789</v>
      </c>
    </row>
    <row r="21" spans="1:48" ht="15.75" customHeight="1" thickBot="1" x14ac:dyDescent="0.35">
      <c r="A21" s="217"/>
      <c r="B21" s="2" t="s">
        <v>99</v>
      </c>
      <c r="C21" s="15"/>
      <c r="D21" s="15"/>
      <c r="E21" s="37">
        <v>18.25</v>
      </c>
      <c r="F21" s="15">
        <v>20.614000000000001</v>
      </c>
      <c r="G21" s="15">
        <v>22.122</v>
      </c>
      <c r="H21" s="15">
        <v>24.199000000000002</v>
      </c>
      <c r="I21" s="15">
        <v>25.42</v>
      </c>
      <c r="J21" s="15">
        <v>26.332000000000001</v>
      </c>
      <c r="K21" s="38">
        <v>26.143999999999998</v>
      </c>
      <c r="L21" s="15"/>
      <c r="M21" s="15"/>
      <c r="N21" s="15" t="s">
        <v>106</v>
      </c>
      <c r="O21" s="15">
        <f>O19-O20</f>
        <v>0</v>
      </c>
      <c r="Q21" s="217"/>
      <c r="R21" s="217"/>
      <c r="S21" s="2" t="s">
        <v>99</v>
      </c>
      <c r="T21" s="15"/>
      <c r="U21" s="15"/>
      <c r="V21" s="15">
        <f t="shared" ref="V21:AB21" si="15">E21*E26</f>
        <v>9.125</v>
      </c>
      <c r="W21" s="15">
        <f t="shared" si="15"/>
        <v>10.307</v>
      </c>
      <c r="X21" s="15">
        <f t="shared" si="15"/>
        <v>11.061</v>
      </c>
      <c r="Y21" s="15">
        <f t="shared" si="15"/>
        <v>12.099500000000001</v>
      </c>
      <c r="Z21" s="15">
        <f t="shared" si="15"/>
        <v>12.71</v>
      </c>
      <c r="AA21" s="15">
        <f t="shared" si="15"/>
        <v>13.166</v>
      </c>
      <c r="AB21" s="15">
        <f t="shared" si="15"/>
        <v>13.071999999999999</v>
      </c>
      <c r="AC21" s="15"/>
      <c r="AD21" s="21">
        <f>SUM(T21:AC21)</f>
        <v>81.540500000000009</v>
      </c>
      <c r="AG21" s="20" t="s">
        <v>72</v>
      </c>
      <c r="AH21" s="3" t="s">
        <v>181</v>
      </c>
      <c r="AI21" s="33">
        <v>8.8707799999999999</v>
      </c>
      <c r="AJ21" s="21">
        <v>83.981920000000002</v>
      </c>
      <c r="AK21" s="21">
        <v>84.35990000000001</v>
      </c>
      <c r="AL21" s="21">
        <v>75.489119999999986</v>
      </c>
      <c r="AM21" s="15">
        <f>((Table18[[#This Row],[Ipsilateral Hemisphere]]-Table18[[#This Row],[Contralateral Hemisphere]])/Table18[[#This Row],[Contralateral Hemisphere]])*100</f>
        <v>0.4500730633450723</v>
      </c>
      <c r="AN21" s="15">
        <f>(Table18[[#This Row],[Contralateral Hemisphere]]-Table18[[#This Row],[Ipsilateral Hemisphere]])/Table18[[#This Row],[Contralateral Hemisphere]]*100</f>
        <v>-0.4500730633450723</v>
      </c>
      <c r="AO21" s="15" t="str">
        <f>IF(Table18[[#This Row],[(ipsi-contra) /contra *100]]&gt;0,"Oedema","Contraction")</f>
        <v>Oedema</v>
      </c>
      <c r="AP21" s="15">
        <f>Table18[[#This Row],[Contralateral Hemisphere]]-Table18[[#This Row],[Ipsilateral Hemisphere]]</f>
        <v>-0.37798000000000798</v>
      </c>
      <c r="AQ21" s="15">
        <f>Table18[[#This Row],[Contralateral Hemisphere]]-Table18[[#This Row],[Healthy Ipsilateral Hemisphere]]</f>
        <v>8.4928000000000168</v>
      </c>
      <c r="AR21" s="7">
        <v>7</v>
      </c>
      <c r="AS21" s="7">
        <v>3</v>
      </c>
      <c r="AT21" s="7">
        <f>Table18[[#This Row],['#sections of lesion]]-Table18[[#This Row],[cortex]]</f>
        <v>4</v>
      </c>
      <c r="AU21" s="44">
        <f>Table18[[#This Row],[Ipsilateral Hemisphere]]/Table18[[#This Row],[Contralateral Hemisphere]]</f>
        <v>1.0045007306334508</v>
      </c>
      <c r="AV21" s="44">
        <f>Table18[[#This Row],[Contralateral Hemisphere]]/Table18[[#This Row],[Ipsilateral Hemisphere]]</f>
        <v>0.99551943518188135</v>
      </c>
    </row>
    <row r="22" spans="1:48" ht="15.75" customHeight="1" thickBot="1" x14ac:dyDescent="0.35">
      <c r="A22" s="217"/>
      <c r="B22" s="2" t="s">
        <v>100</v>
      </c>
      <c r="C22" s="15"/>
      <c r="D22" s="15"/>
      <c r="E22" s="37">
        <v>17.45</v>
      </c>
      <c r="F22" s="15">
        <v>19.181000000000001</v>
      </c>
      <c r="G22" s="15">
        <v>21.08</v>
      </c>
      <c r="H22" s="15">
        <v>22.87</v>
      </c>
      <c r="I22" s="15">
        <v>24.161999999999999</v>
      </c>
      <c r="J22" s="15">
        <v>25.312000000000001</v>
      </c>
      <c r="K22" s="38">
        <v>25.792000000000002</v>
      </c>
      <c r="L22" s="15"/>
      <c r="M22" s="15"/>
      <c r="N22" s="15" t="s">
        <v>113</v>
      </c>
      <c r="O22" s="16">
        <f t="shared" ref="O22" si="16">COUNTIF(A19:M19, "&gt;=0" )</f>
        <v>7</v>
      </c>
      <c r="Q22" s="217"/>
      <c r="R22" s="217"/>
      <c r="S22" s="2" t="s">
        <v>100</v>
      </c>
      <c r="T22" s="15"/>
      <c r="U22" s="15"/>
      <c r="V22" s="15">
        <f t="shared" ref="V22:AB22" si="17">E22*E26</f>
        <v>8.7249999999999996</v>
      </c>
      <c r="W22" s="15">
        <f t="shared" si="17"/>
        <v>9.5905000000000005</v>
      </c>
      <c r="X22" s="15">
        <f t="shared" si="17"/>
        <v>10.54</v>
      </c>
      <c r="Y22" s="15">
        <f t="shared" si="17"/>
        <v>11.435</v>
      </c>
      <c r="Z22" s="15">
        <f t="shared" si="17"/>
        <v>12.081</v>
      </c>
      <c r="AA22" s="15">
        <f t="shared" si="17"/>
        <v>12.656000000000001</v>
      </c>
      <c r="AB22" s="15">
        <f t="shared" si="17"/>
        <v>12.896000000000001</v>
      </c>
      <c r="AC22" s="15"/>
      <c r="AD22" s="21">
        <f>SUM(T22:AC22)</f>
        <v>77.923500000000004</v>
      </c>
      <c r="AG22" s="20" t="s">
        <v>78</v>
      </c>
      <c r="AH22" s="3" t="s">
        <v>181</v>
      </c>
      <c r="AI22" s="33">
        <v>10.17558</v>
      </c>
      <c r="AJ22" s="21">
        <v>83.49436</v>
      </c>
      <c r="AK22" s="21">
        <v>82.010760000000005</v>
      </c>
      <c r="AL22" s="21">
        <v>71.835179999999994</v>
      </c>
      <c r="AM22" s="15">
        <f>((Table18[[#This Row],[Ipsilateral Hemisphere]]-Table18[[#This Row],[Contralateral Hemisphere]])/Table18[[#This Row],[Contralateral Hemisphere]])*100</f>
        <v>-1.7768864867040066</v>
      </c>
      <c r="AN22" s="15">
        <f>(Table18[[#This Row],[Contralateral Hemisphere]]-Table18[[#This Row],[Ipsilateral Hemisphere]])/Table18[[#This Row],[Contralateral Hemisphere]]*100</f>
        <v>1.7768864867040066</v>
      </c>
      <c r="AO22" s="15" t="str">
        <f>IF(Table18[[#This Row],[(ipsi-contra) /contra *100]]&gt;0,"Oedema","Contraction")</f>
        <v>Contraction</v>
      </c>
      <c r="AP22" s="15">
        <f>Table18[[#This Row],[Contralateral Hemisphere]]-Table18[[#This Row],[Ipsilateral Hemisphere]]</f>
        <v>1.4835999999999956</v>
      </c>
      <c r="AQ22" s="15">
        <f>Table18[[#This Row],[Contralateral Hemisphere]]-Table18[[#This Row],[Healthy Ipsilateral Hemisphere]]</f>
        <v>11.659180000000006</v>
      </c>
      <c r="AR22" s="7">
        <v>7</v>
      </c>
      <c r="AS22" s="7">
        <v>3</v>
      </c>
      <c r="AT22" s="7">
        <f>Table18[[#This Row],['#sections of lesion]]-Table18[[#This Row],[cortex]]</f>
        <v>4</v>
      </c>
      <c r="AU22" s="44">
        <f>Table18[[#This Row],[Ipsilateral Hemisphere]]/Table18[[#This Row],[Contralateral Hemisphere]]</f>
        <v>0.9822311351329599</v>
      </c>
      <c r="AV22" s="44">
        <f>Table18[[#This Row],[Contralateral Hemisphere]]/Table18[[#This Row],[Ipsilateral Hemisphere]]</f>
        <v>1.0180903091252904</v>
      </c>
    </row>
    <row r="23" spans="1:48" ht="16.2" thickBot="1" x14ac:dyDescent="0.35">
      <c r="A23" s="217"/>
      <c r="B23" s="2" t="s">
        <v>114</v>
      </c>
      <c r="C23" s="15"/>
      <c r="D23" s="15"/>
      <c r="E23" s="37">
        <v>16.861999999999998</v>
      </c>
      <c r="F23" s="15">
        <v>17.963000000000001</v>
      </c>
      <c r="G23" s="15">
        <v>19.710999999999999</v>
      </c>
      <c r="H23" s="15">
        <v>21.984999999999999</v>
      </c>
      <c r="I23" s="15">
        <v>23.765000000000001</v>
      </c>
      <c r="J23" s="15">
        <v>25.025000000000002</v>
      </c>
      <c r="K23" s="38">
        <v>25.678000000000001</v>
      </c>
      <c r="L23" s="15"/>
      <c r="M23" s="15"/>
      <c r="N23" s="15"/>
      <c r="O23" s="15"/>
      <c r="Q23" s="217"/>
      <c r="R23" s="22"/>
      <c r="S23" s="2" t="s">
        <v>114</v>
      </c>
      <c r="T23" s="15"/>
      <c r="U23" s="15"/>
      <c r="V23" s="15">
        <f t="shared" ref="V23:AB23" si="18">E23*E26</f>
        <v>8.4309999999999992</v>
      </c>
      <c r="W23" s="15">
        <f t="shared" si="18"/>
        <v>8.9815000000000005</v>
      </c>
      <c r="X23" s="15">
        <f t="shared" si="18"/>
        <v>9.8554999999999993</v>
      </c>
      <c r="Y23" s="15">
        <f t="shared" si="18"/>
        <v>10.9925</v>
      </c>
      <c r="Z23" s="15">
        <f t="shared" si="18"/>
        <v>11.8825</v>
      </c>
      <c r="AA23" s="15">
        <f t="shared" si="18"/>
        <v>12.512500000000001</v>
      </c>
      <c r="AB23" s="15">
        <f t="shared" si="18"/>
        <v>12.839</v>
      </c>
      <c r="AC23" s="15"/>
      <c r="AD23" s="21">
        <f>SUM(T23:AC23)</f>
        <v>75.494500000000002</v>
      </c>
      <c r="AG23" s="20" t="s">
        <v>79</v>
      </c>
      <c r="AH23" s="3" t="s">
        <v>183</v>
      </c>
      <c r="AI23" s="33">
        <v>11.902899999999999</v>
      </c>
      <c r="AJ23" s="21">
        <v>77.476119999999995</v>
      </c>
      <c r="AK23" s="21">
        <v>74.483540000000005</v>
      </c>
      <c r="AL23" s="21">
        <v>62.58064000000001</v>
      </c>
      <c r="AM23" s="15">
        <f>((Table18[[#This Row],[Ipsilateral Hemisphere]]-Table18[[#This Row],[Contralateral Hemisphere]])/Table18[[#This Row],[Contralateral Hemisphere]])*100</f>
        <v>-3.8625837225715354</v>
      </c>
      <c r="AN23" s="15">
        <f>(Table18[[#This Row],[Contralateral Hemisphere]]-Table18[[#This Row],[Ipsilateral Hemisphere]])/Table18[[#This Row],[Contralateral Hemisphere]]*100</f>
        <v>3.8625837225715354</v>
      </c>
      <c r="AO23" s="15" t="str">
        <f>IF(Table18[[#This Row],[(ipsi-contra) /contra *100]]&gt;0,"Oedema","Contraction")</f>
        <v>Contraction</v>
      </c>
      <c r="AP23" s="15">
        <f>Table18[[#This Row],[Contralateral Hemisphere]]-Table18[[#This Row],[Ipsilateral Hemisphere]]</f>
        <v>2.9925799999999896</v>
      </c>
      <c r="AQ23" s="15">
        <f>Table18[[#This Row],[Contralateral Hemisphere]]-Table18[[#This Row],[Healthy Ipsilateral Hemisphere]]</f>
        <v>14.895479999999985</v>
      </c>
      <c r="AR23" s="7">
        <v>7</v>
      </c>
      <c r="AS23" s="7">
        <v>3</v>
      </c>
      <c r="AT23" s="7">
        <f>Table18[[#This Row],['#sections of lesion]]-Table18[[#This Row],[cortex]]</f>
        <v>4</v>
      </c>
      <c r="AU23" s="44">
        <f>Table18[[#This Row],[Ipsilateral Hemisphere]]/Table18[[#This Row],[Contralateral Hemisphere]]</f>
        <v>0.96137416277428467</v>
      </c>
      <c r="AV23" s="44">
        <f>Table18[[#This Row],[Contralateral Hemisphere]]/Table18[[#This Row],[Ipsilateral Hemisphere]]</f>
        <v>1.0401777359131963</v>
      </c>
    </row>
    <row r="24" spans="1:48" ht="16.2" thickBot="1" x14ac:dyDescent="0.35">
      <c r="A24" s="217"/>
      <c r="C24" s="15"/>
      <c r="D24" s="15"/>
      <c r="E24" s="37"/>
      <c r="F24" s="15"/>
      <c r="G24" s="15"/>
      <c r="H24" s="15"/>
      <c r="I24" s="15"/>
      <c r="J24" s="15"/>
      <c r="K24" s="38"/>
      <c r="L24" s="15"/>
      <c r="M24" s="15"/>
      <c r="N24" s="15"/>
      <c r="O24" s="15"/>
      <c r="Q24" s="217"/>
      <c r="R24" s="22"/>
      <c r="S24" s="1" t="s">
        <v>115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33">
        <f>(AD21-AD22)/AD21*100</f>
        <v>4.4358325004139099</v>
      </c>
      <c r="AE24" s="25"/>
      <c r="AG24" s="20" t="s">
        <v>80</v>
      </c>
      <c r="AH24" s="3" t="s">
        <v>182</v>
      </c>
      <c r="AI24" s="33">
        <v>7.6379999999999999</v>
      </c>
      <c r="AJ24" s="21">
        <v>84.089179999999999</v>
      </c>
      <c r="AK24" s="21">
        <v>79.750259999999997</v>
      </c>
      <c r="AL24" s="21">
        <v>72.112259999999992</v>
      </c>
      <c r="AM24" s="15">
        <f>((Table18[[#This Row],[Ipsilateral Hemisphere]]-Table18[[#This Row],[Contralateral Hemisphere]])/Table18[[#This Row],[Contralateral Hemisphere]])*100</f>
        <v>-5.1599028555160151</v>
      </c>
      <c r="AN24" s="15">
        <f>(Table18[[#This Row],[Contralateral Hemisphere]]-Table18[[#This Row],[Ipsilateral Hemisphere]])/Table18[[#This Row],[Contralateral Hemisphere]]*100</f>
        <v>5.1599028555160151</v>
      </c>
      <c r="AO24" s="15" t="str">
        <f>IF(Table18[[#This Row],[(ipsi-contra) /contra *100]]&gt;0,"Oedema","Contraction")</f>
        <v>Contraction</v>
      </c>
      <c r="AP24" s="15">
        <f>Table18[[#This Row],[Contralateral Hemisphere]]-Table18[[#This Row],[Ipsilateral Hemisphere]]</f>
        <v>4.3389200000000017</v>
      </c>
      <c r="AQ24" s="15">
        <f>Table18[[#This Row],[Contralateral Hemisphere]]-Table18[[#This Row],[Healthy Ipsilateral Hemisphere]]</f>
        <v>11.976920000000007</v>
      </c>
      <c r="AR24" s="7">
        <v>6</v>
      </c>
      <c r="AS24" s="7">
        <v>5</v>
      </c>
      <c r="AT24" s="7">
        <f>Table18[[#This Row],['#sections of lesion]]-Table18[[#This Row],[cortex]]</f>
        <v>1</v>
      </c>
      <c r="AU24" s="44">
        <f>Table18[[#This Row],[Ipsilateral Hemisphere]]/Table18[[#This Row],[Contralateral Hemisphere]]</f>
        <v>0.94840097144483981</v>
      </c>
      <c r="AV24" s="44">
        <f>Table18[[#This Row],[Contralateral Hemisphere]]/Table18[[#This Row],[Ipsilateral Hemisphere]]</f>
        <v>1.0544063430012642</v>
      </c>
    </row>
    <row r="25" spans="1:48" ht="16.2" thickBot="1" x14ac:dyDescent="0.35">
      <c r="A25" s="217"/>
      <c r="C25" s="15"/>
      <c r="D25" s="15"/>
      <c r="E25" s="37"/>
      <c r="F25" s="15"/>
      <c r="G25" s="15"/>
      <c r="H25" s="15"/>
      <c r="I25" s="15"/>
      <c r="J25" s="15"/>
      <c r="K25" s="38"/>
      <c r="L25" s="15"/>
      <c r="M25" s="15"/>
      <c r="N25" s="15"/>
      <c r="O25" s="15"/>
      <c r="Q25" s="217"/>
      <c r="R25" s="22"/>
      <c r="S25" s="1" t="s">
        <v>103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33">
        <f>AD21-AD23</f>
        <v>6.0460000000000065</v>
      </c>
      <c r="AE25" s="25"/>
      <c r="AG25" s="20" t="s">
        <v>35</v>
      </c>
      <c r="AH25" s="3" t="s">
        <v>181</v>
      </c>
      <c r="AI25" s="33">
        <v>5.5762400000000003</v>
      </c>
      <c r="AJ25" s="21">
        <v>76.389699999999991</v>
      </c>
      <c r="AK25" s="21">
        <v>72.889880000000005</v>
      </c>
      <c r="AL25" s="21">
        <v>67.313639999999992</v>
      </c>
      <c r="AM25" s="15">
        <f>((Table18[[#This Row],[Ipsilateral Hemisphere]]-Table18[[#This Row],[Contralateral Hemisphere]])/Table18[[#This Row],[Contralateral Hemisphere]])*100</f>
        <v>-4.5815338978945928</v>
      </c>
      <c r="AN25" s="15">
        <f>(Table18[[#This Row],[Contralateral Hemisphere]]-Table18[[#This Row],[Ipsilateral Hemisphere]])/Table18[[#This Row],[Contralateral Hemisphere]]*100</f>
        <v>4.5815338978945928</v>
      </c>
      <c r="AO25" s="15" t="str">
        <f>IF(Table18[[#This Row],[(ipsi-contra) /contra *100]]&gt;0,"Oedema","Contraction")</f>
        <v>Contraction</v>
      </c>
      <c r="AP25" s="15">
        <f>Table18[[#This Row],[Contralateral Hemisphere]]-Table18[[#This Row],[Ipsilateral Hemisphere]]</f>
        <v>3.4998199999999855</v>
      </c>
      <c r="AQ25" s="15">
        <f>Table18[[#This Row],[Contralateral Hemisphere]]-Table18[[#This Row],[Healthy Ipsilateral Hemisphere]]</f>
        <v>9.0760599999999982</v>
      </c>
      <c r="AR25" s="7">
        <v>7</v>
      </c>
      <c r="AS25" s="7">
        <v>3</v>
      </c>
      <c r="AT25" s="7">
        <f>Table18[[#This Row],['#sections of lesion]]-Table18[[#This Row],[cortex]]</f>
        <v>4</v>
      </c>
      <c r="AU25" s="44">
        <f>Table18[[#This Row],[Ipsilateral Hemisphere]]/Table18[[#This Row],[Contralateral Hemisphere]]</f>
        <v>0.95418466102105404</v>
      </c>
      <c r="AV25" s="44">
        <f>Table18[[#This Row],[Contralateral Hemisphere]]/Table18[[#This Row],[Ipsilateral Hemisphere]]</f>
        <v>1.0480151702815259</v>
      </c>
    </row>
    <row r="26" spans="1:48" ht="14.25" customHeight="1" thickBot="1" x14ac:dyDescent="0.35">
      <c r="A26" s="218"/>
      <c r="B26" s="2" t="s">
        <v>32</v>
      </c>
      <c r="C26" s="15"/>
      <c r="D26" s="15"/>
      <c r="E26" s="37">
        <v>0.5</v>
      </c>
      <c r="F26" s="15">
        <v>0.5</v>
      </c>
      <c r="G26" s="15">
        <v>0.5</v>
      </c>
      <c r="H26" s="15">
        <v>0.5</v>
      </c>
      <c r="I26" s="15">
        <v>0.5</v>
      </c>
      <c r="J26" s="15">
        <v>0.5</v>
      </c>
      <c r="K26" s="38">
        <v>0.5</v>
      </c>
      <c r="L26" s="15"/>
      <c r="M26" s="15"/>
      <c r="N26" s="15"/>
      <c r="O26" s="15"/>
      <c r="P26" s="16"/>
      <c r="Q26" s="218"/>
      <c r="R26" s="22"/>
      <c r="S26" s="2" t="s">
        <v>97</v>
      </c>
      <c r="T26" s="221" t="s">
        <v>119</v>
      </c>
      <c r="U26" s="221"/>
      <c r="V26" s="221"/>
      <c r="W26" s="221"/>
      <c r="X26" s="221"/>
      <c r="Y26" s="221"/>
      <c r="Z26" s="221"/>
      <c r="AA26" s="221"/>
      <c r="AB26" s="221"/>
      <c r="AC26" s="221"/>
      <c r="AD26" s="39"/>
      <c r="AG26" s="20" t="s">
        <v>36</v>
      </c>
      <c r="AH26" s="3" t="s">
        <v>182</v>
      </c>
      <c r="AI26" s="33">
        <v>6.4381199999999996</v>
      </c>
      <c r="AJ26" s="21">
        <v>82.468439999999987</v>
      </c>
      <c r="AK26" s="21">
        <v>82.834220000000016</v>
      </c>
      <c r="AL26" s="21">
        <v>76.396100000000004</v>
      </c>
      <c r="AM26" s="15">
        <f>((Table18[[#This Row],[Ipsilateral Hemisphere]]-Table18[[#This Row],[Contralateral Hemisphere]])/Table18[[#This Row],[Contralateral Hemisphere]])*100</f>
        <v>0.44353937093999762</v>
      </c>
      <c r="AN26" s="15">
        <f>(Table18[[#This Row],[Contralateral Hemisphere]]-Table18[[#This Row],[Ipsilateral Hemisphere]])/Table18[[#This Row],[Contralateral Hemisphere]]*100</f>
        <v>-0.44353937093999762</v>
      </c>
      <c r="AO26" s="15" t="str">
        <f>IF(Table18[[#This Row],[(ipsi-contra) /contra *100]]&gt;0,"Oedema","Contraction")</f>
        <v>Oedema</v>
      </c>
      <c r="AP26" s="15">
        <f>Table18[[#This Row],[Contralateral Hemisphere]]-Table18[[#This Row],[Ipsilateral Hemisphere]]</f>
        <v>-0.3657800000000293</v>
      </c>
      <c r="AQ26" s="15">
        <f>Table18[[#This Row],[Contralateral Hemisphere]]-Table18[[#This Row],[Healthy Ipsilateral Hemisphere]]</f>
        <v>6.0723399999999828</v>
      </c>
      <c r="AR26" s="7">
        <v>7</v>
      </c>
      <c r="AS26" s="7">
        <v>6</v>
      </c>
      <c r="AT26" s="7">
        <f>Table18[[#This Row],['#sections of lesion]]-Table18[[#This Row],[cortex]]</f>
        <v>1</v>
      </c>
      <c r="AU26" s="44">
        <f>Table18[[#This Row],[Ipsilateral Hemisphere]]/Table18[[#This Row],[Contralateral Hemisphere]]</f>
        <v>1.0044353937093999</v>
      </c>
      <c r="AV26" s="44">
        <f>Table18[[#This Row],[Contralateral Hemisphere]]/Table18[[#This Row],[Ipsilateral Hemisphere]]</f>
        <v>0.99558419213701743</v>
      </c>
    </row>
    <row r="27" spans="1:48" ht="15.75" customHeight="1" thickBot="1" x14ac:dyDescent="0.35">
      <c r="A27" s="216" t="s">
        <v>120</v>
      </c>
      <c r="B27" s="13" t="s">
        <v>98</v>
      </c>
      <c r="C27" s="14"/>
      <c r="D27" s="14"/>
      <c r="E27" s="34">
        <v>1.6990000000000001</v>
      </c>
      <c r="F27" s="14">
        <v>2.4260000000000002</v>
      </c>
      <c r="G27" s="14">
        <v>3.0329999999999999</v>
      </c>
      <c r="H27" s="14">
        <v>3.1040000000000001</v>
      </c>
      <c r="I27" s="14">
        <v>3.6269999999999998</v>
      </c>
      <c r="J27" s="14">
        <v>3.4409999999999998</v>
      </c>
      <c r="K27" s="35">
        <v>2.5920000000000001</v>
      </c>
      <c r="L27" s="14"/>
      <c r="M27" s="14"/>
      <c r="N27" s="15" t="s">
        <v>109</v>
      </c>
      <c r="O27" s="16">
        <f t="shared" ref="O27" si="19">COUNTIF(A27:L27, "&gt;0" )</f>
        <v>7</v>
      </c>
      <c r="Q27" s="216" t="s">
        <v>120</v>
      </c>
      <c r="R27" s="216" t="s">
        <v>2</v>
      </c>
      <c r="S27" s="36" t="s">
        <v>98</v>
      </c>
      <c r="T27" s="18"/>
      <c r="U27" s="18"/>
      <c r="V27" s="18">
        <f t="shared" ref="V27:AB27" si="20">E27*E34</f>
        <v>0.88348000000000004</v>
      </c>
      <c r="W27" s="18">
        <f t="shared" si="20"/>
        <v>1.16448</v>
      </c>
      <c r="X27" s="18">
        <f t="shared" si="20"/>
        <v>1.5165</v>
      </c>
      <c r="Y27" s="18">
        <f t="shared" si="20"/>
        <v>1.552</v>
      </c>
      <c r="Z27" s="18">
        <f t="shared" si="20"/>
        <v>1.8860399999999999</v>
      </c>
      <c r="AA27" s="18">
        <f t="shared" si="20"/>
        <v>1.6516799999999998</v>
      </c>
      <c r="AB27" s="18">
        <f t="shared" si="20"/>
        <v>1.296</v>
      </c>
      <c r="AC27" s="18"/>
      <c r="AD27" s="33">
        <f>SUM(T27:AC27)</f>
        <v>9.9501799999999996</v>
      </c>
      <c r="AE27" s="25"/>
      <c r="AG27" s="20" t="s">
        <v>39</v>
      </c>
      <c r="AH27" s="3" t="s">
        <v>181</v>
      </c>
      <c r="AI27" s="33">
        <v>2.4289999999999998</v>
      </c>
      <c r="AJ27" s="21">
        <v>81.540500000000009</v>
      </c>
      <c r="AK27" s="21">
        <v>77.923500000000004</v>
      </c>
      <c r="AL27" s="21">
        <v>75.494500000000002</v>
      </c>
      <c r="AM27" s="15">
        <f>((Table18[[#This Row],[Ipsilateral Hemisphere]]-Table18[[#This Row],[Contralateral Hemisphere]])/Table18[[#This Row],[Contralateral Hemisphere]])*100</f>
        <v>-4.4358325004139099</v>
      </c>
      <c r="AN27" s="15">
        <f>(Table18[[#This Row],[Contralateral Hemisphere]]-Table18[[#This Row],[Ipsilateral Hemisphere]])/Table18[[#This Row],[Contralateral Hemisphere]]*100</f>
        <v>4.4358325004139099</v>
      </c>
      <c r="AO27" s="15" t="str">
        <f>IF(Table18[[#This Row],[(ipsi-contra) /contra *100]]&gt;0,"Oedema","Contraction")</f>
        <v>Contraction</v>
      </c>
      <c r="AP27" s="15">
        <f>Table18[[#This Row],[Contralateral Hemisphere]]-Table18[[#This Row],[Ipsilateral Hemisphere]]</f>
        <v>3.6170000000000044</v>
      </c>
      <c r="AQ27" s="15">
        <f>Table18[[#This Row],[Contralateral Hemisphere]]-Table18[[#This Row],[Healthy Ipsilateral Hemisphere]]</f>
        <v>6.0460000000000065</v>
      </c>
      <c r="AR27" s="7">
        <v>7</v>
      </c>
      <c r="AS27" s="7">
        <v>7</v>
      </c>
      <c r="AT27" s="7">
        <f>Table18[[#This Row],['#sections of lesion]]-Table18[[#This Row],[cortex]]</f>
        <v>0</v>
      </c>
      <c r="AU27" s="44">
        <f>Table18[[#This Row],[Ipsilateral Hemisphere]]/Table18[[#This Row],[Contralateral Hemisphere]]</f>
        <v>0.95564167499586095</v>
      </c>
      <c r="AV27" s="44">
        <f>Table18[[#This Row],[Contralateral Hemisphere]]/Table18[[#This Row],[Ipsilateral Hemisphere]]</f>
        <v>1.0464173195505848</v>
      </c>
    </row>
    <row r="28" spans="1:48" ht="15.75" customHeight="1" thickBot="1" x14ac:dyDescent="0.35">
      <c r="A28" s="217"/>
      <c r="B28" s="2" t="s">
        <v>110</v>
      </c>
      <c r="C28" s="15"/>
      <c r="D28" s="15"/>
      <c r="E28" s="37" t="s">
        <v>111</v>
      </c>
      <c r="F28" s="15" t="s">
        <v>111</v>
      </c>
      <c r="G28" s="15" t="s">
        <v>121</v>
      </c>
      <c r="H28" s="15" t="s">
        <v>112</v>
      </c>
      <c r="I28" s="15" t="s">
        <v>121</v>
      </c>
      <c r="J28" s="15" t="s">
        <v>112</v>
      </c>
      <c r="K28" s="38" t="s">
        <v>112</v>
      </c>
      <c r="L28" s="15"/>
      <c r="M28" s="15"/>
      <c r="N28" s="15" t="s">
        <v>105</v>
      </c>
      <c r="O28" s="15">
        <f t="shared" ref="O28" si="21">COUNTIF(A28:L28,"Cortex")</f>
        <v>2</v>
      </c>
      <c r="Q28" s="217"/>
      <c r="R28" s="21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21"/>
      <c r="AG28" s="20" t="s">
        <v>40</v>
      </c>
      <c r="AH28" s="3" t="s">
        <v>183</v>
      </c>
      <c r="AI28" s="33">
        <v>9.9501799999999996</v>
      </c>
      <c r="AJ28" s="21">
        <v>65.005839999999992</v>
      </c>
      <c r="AK28" s="21">
        <v>71.03492</v>
      </c>
      <c r="AL28" s="21">
        <v>61.084740000000004</v>
      </c>
      <c r="AM28" s="15">
        <f>((Table18[[#This Row],[Ipsilateral Hemisphere]]-Table18[[#This Row],[Contralateral Hemisphere]])/Table18[[#This Row],[Contralateral Hemisphere]])*100</f>
        <v>9.2746743984848248</v>
      </c>
      <c r="AN28" s="15">
        <f>(Table18[[#This Row],[Contralateral Hemisphere]]-Table18[[#This Row],[Ipsilateral Hemisphere]])/Table18[[#This Row],[Contralateral Hemisphere]]*100</f>
        <v>-9.2746743984848248</v>
      </c>
      <c r="AO28" s="15" t="str">
        <f>IF(Table18[[#This Row],[(ipsi-contra) /contra *100]]&gt;0,"Oedema","Contraction")</f>
        <v>Oedema</v>
      </c>
      <c r="AP28" s="15">
        <f>Table18[[#This Row],[Contralateral Hemisphere]]-Table18[[#This Row],[Ipsilateral Hemisphere]]</f>
        <v>-6.0290800000000075</v>
      </c>
      <c r="AQ28" s="15">
        <f>Table18[[#This Row],[Contralateral Hemisphere]]-Table18[[#This Row],[Healthy Ipsilateral Hemisphere]]</f>
        <v>3.9210999999999885</v>
      </c>
      <c r="AR28" s="7">
        <v>7</v>
      </c>
      <c r="AS28" s="7">
        <v>2</v>
      </c>
      <c r="AT28" s="7">
        <f>Table18[[#This Row],['#sections of lesion]]-Table18[[#This Row],[cortex]]</f>
        <v>5</v>
      </c>
      <c r="AU28" s="44">
        <f>Table18[[#This Row],[Ipsilateral Hemisphere]]/Table18[[#This Row],[Contralateral Hemisphere]]</f>
        <v>1.0927467439848482</v>
      </c>
      <c r="AV28" s="44">
        <f>Table18[[#This Row],[Contralateral Hemisphere]]/Table18[[#This Row],[Ipsilateral Hemisphere]]</f>
        <v>0.91512512437544791</v>
      </c>
    </row>
    <row r="29" spans="1:48" ht="15.75" customHeight="1" thickBot="1" x14ac:dyDescent="0.35">
      <c r="A29" s="217"/>
      <c r="B29" s="2" t="s">
        <v>99</v>
      </c>
      <c r="C29" s="15"/>
      <c r="D29" s="15"/>
      <c r="E29" s="37">
        <v>14.648</v>
      </c>
      <c r="F29" s="15">
        <v>17.106999999999999</v>
      </c>
      <c r="G29" s="15">
        <v>19.064</v>
      </c>
      <c r="H29" s="15">
        <v>20.515999999999998</v>
      </c>
      <c r="I29" s="15">
        <v>21.91</v>
      </c>
      <c r="J29" s="15">
        <v>22.684000000000001</v>
      </c>
      <c r="K29" s="38">
        <v>14.212000000000002</v>
      </c>
      <c r="L29" s="15"/>
      <c r="M29" s="15"/>
      <c r="N29" s="15" t="s">
        <v>106</v>
      </c>
      <c r="O29" s="15">
        <f t="shared" ref="O29" si="22">O27-O28</f>
        <v>5</v>
      </c>
      <c r="Q29" s="217"/>
      <c r="R29" s="217"/>
      <c r="S29" s="2" t="s">
        <v>99</v>
      </c>
      <c r="T29" s="15"/>
      <c r="U29" s="15"/>
      <c r="V29" s="15">
        <f t="shared" ref="V29:AB29" si="23">E29*E34</f>
        <v>7.6169599999999997</v>
      </c>
      <c r="W29" s="15">
        <f t="shared" si="23"/>
        <v>8.2113599999999991</v>
      </c>
      <c r="X29" s="15">
        <f t="shared" si="23"/>
        <v>9.532</v>
      </c>
      <c r="Y29" s="15">
        <f t="shared" si="23"/>
        <v>10.257999999999999</v>
      </c>
      <c r="Z29" s="15">
        <f t="shared" si="23"/>
        <v>11.3932</v>
      </c>
      <c r="AA29" s="15">
        <f t="shared" si="23"/>
        <v>10.88832</v>
      </c>
      <c r="AB29" s="15">
        <f t="shared" si="23"/>
        <v>7.1060000000000008</v>
      </c>
      <c r="AC29" s="15"/>
      <c r="AD29" s="21">
        <f>SUM(T29:AC29)</f>
        <v>65.005839999999992</v>
      </c>
      <c r="AG29" s="20" t="s">
        <v>41</v>
      </c>
      <c r="AH29" s="3" t="s">
        <v>181</v>
      </c>
      <c r="AI29" s="33">
        <v>8.4809599999999996</v>
      </c>
      <c r="AJ29" s="21">
        <v>77.169780000000003</v>
      </c>
      <c r="AK29" s="21">
        <v>74.912520000000001</v>
      </c>
      <c r="AL29" s="21">
        <v>66.431560000000005</v>
      </c>
      <c r="AM29" s="15">
        <f>((Table18[[#This Row],[Ipsilateral Hemisphere]]-Table18[[#This Row],[Contralateral Hemisphere]])/Table18[[#This Row],[Contralateral Hemisphere]])*100</f>
        <v>-2.9250569329081957</v>
      </c>
      <c r="AN29" s="15">
        <f>(Table18[[#This Row],[Contralateral Hemisphere]]-Table18[[#This Row],[Ipsilateral Hemisphere]])/Table18[[#This Row],[Contralateral Hemisphere]]*100</f>
        <v>2.9250569329081957</v>
      </c>
      <c r="AO29" s="15" t="str">
        <f>IF(Table18[[#This Row],[(ipsi-contra) /contra *100]]&gt;0,"Oedema","Contraction")</f>
        <v>Contraction</v>
      </c>
      <c r="AP29" s="15">
        <f>Table18[[#This Row],[Contralateral Hemisphere]]-Table18[[#This Row],[Ipsilateral Hemisphere]]</f>
        <v>2.2572600000000023</v>
      </c>
      <c r="AQ29" s="15">
        <f>Table18[[#This Row],[Contralateral Hemisphere]]-Table18[[#This Row],[Healthy Ipsilateral Hemisphere]]</f>
        <v>10.738219999999998</v>
      </c>
      <c r="AR29" s="7">
        <v>6</v>
      </c>
      <c r="AS29" s="7">
        <v>6</v>
      </c>
      <c r="AT29" s="7">
        <f>Table18[[#This Row],['#sections of lesion]]-Table18[[#This Row],[cortex]]</f>
        <v>0</v>
      </c>
      <c r="AU29" s="44">
        <f>Table18[[#This Row],[Ipsilateral Hemisphere]]/Table18[[#This Row],[Contralateral Hemisphere]]</f>
        <v>0.97074943067091801</v>
      </c>
      <c r="AV29" s="44">
        <f>Table18[[#This Row],[Contralateral Hemisphere]]/Table18[[#This Row],[Ipsilateral Hemisphere]]</f>
        <v>1.0301319459016998</v>
      </c>
    </row>
    <row r="30" spans="1:48" ht="17.25" customHeight="1" thickBot="1" x14ac:dyDescent="0.35">
      <c r="A30" s="217"/>
      <c r="B30" s="2" t="s">
        <v>100</v>
      </c>
      <c r="C30" s="15"/>
      <c r="D30" s="15"/>
      <c r="E30" s="37">
        <v>15.425000000000001</v>
      </c>
      <c r="F30" s="15">
        <v>17.21</v>
      </c>
      <c r="G30" s="15">
        <v>19.875</v>
      </c>
      <c r="H30" s="15">
        <v>21.068000000000001</v>
      </c>
      <c r="I30" s="15">
        <v>21.975000000000001</v>
      </c>
      <c r="J30" s="15">
        <v>23.443999999999999</v>
      </c>
      <c r="K30" s="38">
        <v>23.202999999999999</v>
      </c>
      <c r="L30" s="15"/>
      <c r="M30" s="15"/>
      <c r="N30" s="15" t="s">
        <v>113</v>
      </c>
      <c r="O30" s="16">
        <f t="shared" ref="O30" si="24">COUNTIF(A27:M27, "&gt;=0" )</f>
        <v>7</v>
      </c>
      <c r="Q30" s="217"/>
      <c r="R30" s="217"/>
      <c r="S30" s="2" t="s">
        <v>100</v>
      </c>
      <c r="T30" s="15"/>
      <c r="U30" s="15"/>
      <c r="V30" s="15">
        <f t="shared" ref="V30:AB30" si="25">E30*E34</f>
        <v>8.0210000000000008</v>
      </c>
      <c r="W30" s="15">
        <f t="shared" si="25"/>
        <v>8.2607999999999997</v>
      </c>
      <c r="X30" s="15">
        <f t="shared" si="25"/>
        <v>9.9375</v>
      </c>
      <c r="Y30" s="15">
        <f t="shared" si="25"/>
        <v>10.534000000000001</v>
      </c>
      <c r="Z30" s="15">
        <f t="shared" si="25"/>
        <v>11.427000000000001</v>
      </c>
      <c r="AA30" s="15">
        <f t="shared" si="25"/>
        <v>11.253119999999999</v>
      </c>
      <c r="AB30" s="15">
        <f t="shared" si="25"/>
        <v>11.6015</v>
      </c>
      <c r="AC30" s="15"/>
      <c r="AD30" s="21">
        <f>SUM(T30:AC30)</f>
        <v>71.03492</v>
      </c>
      <c r="AG30" s="20" t="s">
        <v>37</v>
      </c>
      <c r="AH30" s="3" t="s">
        <v>182</v>
      </c>
      <c r="AI30" s="33">
        <v>11.631319999999999</v>
      </c>
      <c r="AJ30" s="21">
        <v>80.378020000000006</v>
      </c>
      <c r="AK30" s="21">
        <v>75.620419999999996</v>
      </c>
      <c r="AL30" s="21">
        <v>80.378020000000006</v>
      </c>
      <c r="AM30" s="15">
        <f>((Table18[[#This Row],[Ipsilateral Hemisphere]]-Table18[[#This Row],[Contralateral Hemisphere]])/Table18[[#This Row],[Contralateral Hemisphere]])*100</f>
        <v>-5.9190310983027583</v>
      </c>
      <c r="AN30" s="15">
        <f>(Table18[[#This Row],[Contralateral Hemisphere]]-Table18[[#This Row],[Ipsilateral Hemisphere]])/Table18[[#This Row],[Contralateral Hemisphere]]*100</f>
        <v>5.9190310983027583</v>
      </c>
      <c r="AO30" s="15" t="str">
        <f>IF(Table18[[#This Row],[(ipsi-contra) /contra *100]]&gt;0,"Oedema","Contraction")</f>
        <v>Contraction</v>
      </c>
      <c r="AP30" s="15">
        <f>Table18[[#This Row],[Contralateral Hemisphere]]-Table18[[#This Row],[Ipsilateral Hemisphere]]</f>
        <v>4.7576000000000107</v>
      </c>
      <c r="AQ30" s="15">
        <f>Table18[[#This Row],[Contralateral Hemisphere]]-Table18[[#This Row],[Healthy Ipsilateral Hemisphere]]</f>
        <v>0</v>
      </c>
      <c r="AR30" s="7">
        <v>7</v>
      </c>
      <c r="AS30" s="7">
        <v>3</v>
      </c>
      <c r="AT30" s="7">
        <f>Table18[[#This Row],['#sections of lesion]]-Table18[[#This Row],[cortex]]</f>
        <v>4</v>
      </c>
      <c r="AU30" s="44">
        <f>Table18[[#This Row],[Ipsilateral Hemisphere]]/Table18[[#This Row],[Contralateral Hemisphere]]</f>
        <v>0.94080968901697237</v>
      </c>
      <c r="AV30" s="44">
        <f>Table18[[#This Row],[Contralateral Hemisphere]]/Table18[[#This Row],[Ipsilateral Hemisphere]]</f>
        <v>1.0629142234333002</v>
      </c>
    </row>
    <row r="31" spans="1:48" ht="16.2" thickBot="1" x14ac:dyDescent="0.35">
      <c r="A31" s="22"/>
      <c r="B31" s="2" t="s">
        <v>114</v>
      </c>
      <c r="C31" s="15"/>
      <c r="D31" s="15"/>
      <c r="E31" s="37">
        <v>13.726000000000001</v>
      </c>
      <c r="F31" s="15">
        <v>14.784000000000001</v>
      </c>
      <c r="G31" s="15">
        <v>16.841999999999999</v>
      </c>
      <c r="H31" s="15">
        <v>17.964000000000002</v>
      </c>
      <c r="I31" s="15">
        <v>18.348000000000003</v>
      </c>
      <c r="J31" s="15">
        <v>20.003</v>
      </c>
      <c r="K31" s="38">
        <v>20.611000000000001</v>
      </c>
      <c r="L31" s="15"/>
      <c r="M31" s="15"/>
      <c r="N31" s="15"/>
      <c r="O31" s="15"/>
      <c r="Q31" s="22"/>
      <c r="R31" s="22"/>
      <c r="S31" s="2" t="s">
        <v>114</v>
      </c>
      <c r="T31" s="15"/>
      <c r="U31" s="15"/>
      <c r="V31" s="15">
        <f t="shared" ref="V31:AB31" si="26">E31*E34</f>
        <v>7.1375200000000003</v>
      </c>
      <c r="W31" s="15">
        <f t="shared" si="26"/>
        <v>7.0963200000000004</v>
      </c>
      <c r="X31" s="15">
        <f t="shared" si="26"/>
        <v>8.4209999999999994</v>
      </c>
      <c r="Y31" s="15">
        <f t="shared" si="26"/>
        <v>8.9820000000000011</v>
      </c>
      <c r="Z31" s="15">
        <f t="shared" si="26"/>
        <v>9.5409600000000019</v>
      </c>
      <c r="AA31" s="15">
        <f t="shared" si="26"/>
        <v>9.6014400000000002</v>
      </c>
      <c r="AB31" s="15">
        <f t="shared" si="26"/>
        <v>10.3055</v>
      </c>
      <c r="AC31" s="15"/>
      <c r="AD31" s="21">
        <f>SUM(T31:AC31)</f>
        <v>61.084740000000004</v>
      </c>
      <c r="AG31" s="20" t="s">
        <v>38</v>
      </c>
      <c r="AH31" s="3" t="s">
        <v>183</v>
      </c>
      <c r="AI31" s="33">
        <v>11.6669</v>
      </c>
      <c r="AJ31" s="21">
        <v>78.698980000000006</v>
      </c>
      <c r="AK31" s="21">
        <v>74.521439999999998</v>
      </c>
      <c r="AL31" s="21">
        <v>62.854539999999993</v>
      </c>
      <c r="AM31" s="15">
        <f>((Table18[[#This Row],[Ipsilateral Hemisphere]]-Table18[[#This Row],[Contralateral Hemisphere]])/Table18[[#This Row],[Contralateral Hemisphere]])*100</f>
        <v>-5.3082517714969208</v>
      </c>
      <c r="AN31" s="15">
        <f>(Table18[[#This Row],[Contralateral Hemisphere]]-Table18[[#This Row],[Ipsilateral Hemisphere]])/Table18[[#This Row],[Contralateral Hemisphere]]*100</f>
        <v>5.3082517714969208</v>
      </c>
      <c r="AO31" s="15" t="str">
        <f>IF(Table18[[#This Row],[(ipsi-contra) /contra *100]]&gt;0,"Oedema","Contraction")</f>
        <v>Contraction</v>
      </c>
      <c r="AP31" s="15">
        <f>Table18[[#This Row],[Contralateral Hemisphere]]-Table18[[#This Row],[Ipsilateral Hemisphere]]</f>
        <v>4.1775400000000076</v>
      </c>
      <c r="AQ31" s="15">
        <f>Table18[[#This Row],[Contralateral Hemisphere]]-Table18[[#This Row],[Healthy Ipsilateral Hemisphere]]</f>
        <v>15.844440000000013</v>
      </c>
      <c r="AR31" s="7">
        <v>7</v>
      </c>
      <c r="AS31" s="7">
        <v>2</v>
      </c>
      <c r="AT31" s="7">
        <f>Table18[[#This Row],['#sections of lesion]]-Table18[[#This Row],[cortex]]</f>
        <v>5</v>
      </c>
      <c r="AU31" s="44">
        <f>Table18[[#This Row],[Ipsilateral Hemisphere]]/Table18[[#This Row],[Contralateral Hemisphere]]</f>
        <v>0.94691748228503081</v>
      </c>
      <c r="AV31" s="44">
        <f>Table18[[#This Row],[Contralateral Hemisphere]]/Table18[[#This Row],[Ipsilateral Hemisphere]]</f>
        <v>1.0560582296853094</v>
      </c>
    </row>
    <row r="32" spans="1:48" ht="16.2" thickBot="1" x14ac:dyDescent="0.35">
      <c r="A32" s="22"/>
      <c r="C32" s="15"/>
      <c r="D32" s="15"/>
      <c r="E32" s="37"/>
      <c r="F32" s="15"/>
      <c r="G32" s="15"/>
      <c r="H32" s="15"/>
      <c r="I32" s="15"/>
      <c r="J32" s="15"/>
      <c r="K32" s="38"/>
      <c r="L32" s="15"/>
      <c r="M32" s="15"/>
      <c r="N32" s="15"/>
      <c r="O32" s="15"/>
      <c r="Q32" s="22"/>
      <c r="R32" s="22"/>
      <c r="S32" s="1" t="s">
        <v>115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33">
        <f>(AD29-AD30)/AD29*100</f>
        <v>-9.2746743984848248</v>
      </c>
      <c r="AE32" s="25"/>
      <c r="AG32" s="20" t="s">
        <v>44</v>
      </c>
      <c r="AH32" s="3" t="s">
        <v>182</v>
      </c>
      <c r="AI32" s="33">
        <v>5.4019399999999997</v>
      </c>
      <c r="AJ32" s="21">
        <v>79.071539999999999</v>
      </c>
      <c r="AK32" s="21">
        <v>76.934879999999993</v>
      </c>
      <c r="AL32" s="21">
        <v>71.532939999999996</v>
      </c>
      <c r="AM32" s="15">
        <f>((Table18[[#This Row],[Ipsilateral Hemisphere]]-Table18[[#This Row],[Contralateral Hemisphere]])/Table18[[#This Row],[Contralateral Hemisphere]])*100</f>
        <v>-2.7021858939385854</v>
      </c>
      <c r="AN32" s="15">
        <f>(Table18[[#This Row],[Contralateral Hemisphere]]-Table18[[#This Row],[Ipsilateral Hemisphere]])/Table18[[#This Row],[Contralateral Hemisphere]]*100</f>
        <v>2.7021858939385854</v>
      </c>
      <c r="AO32" s="15" t="str">
        <f>IF(Table18[[#This Row],[(ipsi-contra) /contra *100]]&gt;0,"Oedema","Contraction")</f>
        <v>Contraction</v>
      </c>
      <c r="AP32" s="15">
        <f>Table18[[#This Row],[Contralateral Hemisphere]]-Table18[[#This Row],[Ipsilateral Hemisphere]]</f>
        <v>2.1366600000000062</v>
      </c>
      <c r="AQ32" s="15">
        <f>Table18[[#This Row],[Contralateral Hemisphere]]-Table18[[#This Row],[Healthy Ipsilateral Hemisphere]]</f>
        <v>7.5386000000000024</v>
      </c>
      <c r="AR32" s="7">
        <v>5</v>
      </c>
      <c r="AS32" s="7">
        <v>4</v>
      </c>
      <c r="AT32" s="7">
        <f>Table18[[#This Row],['#sections of lesion]]-Table18[[#This Row],[cortex]]</f>
        <v>1</v>
      </c>
      <c r="AU32" s="44">
        <f>Table18[[#This Row],[Ipsilateral Hemisphere]]/Table18[[#This Row],[Contralateral Hemisphere]]</f>
        <v>0.9729781410606142</v>
      </c>
      <c r="AV32" s="44">
        <f>Table18[[#This Row],[Contralateral Hemisphere]]/Table18[[#This Row],[Ipsilateral Hemisphere]]</f>
        <v>1.0277723186154317</v>
      </c>
    </row>
    <row r="33" spans="1:48" ht="16.2" thickBot="1" x14ac:dyDescent="0.35">
      <c r="A33" s="22"/>
      <c r="C33" s="15"/>
      <c r="D33" s="15"/>
      <c r="E33" s="37"/>
      <c r="F33" s="15"/>
      <c r="G33" s="15"/>
      <c r="H33" s="15"/>
      <c r="I33" s="15"/>
      <c r="J33" s="15"/>
      <c r="K33" s="38"/>
      <c r="L33" s="15"/>
      <c r="M33" s="15"/>
      <c r="N33" s="15"/>
      <c r="O33" s="15"/>
      <c r="Q33" s="22"/>
      <c r="R33" s="22"/>
      <c r="S33" s="1" t="s">
        <v>103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33">
        <f>AD29-AD31</f>
        <v>3.9210999999999885</v>
      </c>
      <c r="AE33" s="25"/>
      <c r="AG33" s="20" t="s">
        <v>42</v>
      </c>
      <c r="AH33" s="3" t="s">
        <v>183</v>
      </c>
      <c r="AI33" s="33">
        <v>8.4480000000000004</v>
      </c>
      <c r="AJ33" s="21">
        <v>77.721999999999994</v>
      </c>
      <c r="AK33" s="21">
        <v>75.858500000000006</v>
      </c>
      <c r="AL33" s="21">
        <v>67.410500000000013</v>
      </c>
      <c r="AM33" s="15">
        <f>((Table18[[#This Row],[Ipsilateral Hemisphere]]-Table18[[#This Row],[Contralateral Hemisphere]])/Table18[[#This Row],[Contralateral Hemisphere]])*100</f>
        <v>-2.3976480275854812</v>
      </c>
      <c r="AN33" s="15">
        <f>(Table18[[#This Row],[Contralateral Hemisphere]]-Table18[[#This Row],[Ipsilateral Hemisphere]])/Table18[[#This Row],[Contralateral Hemisphere]]*100</f>
        <v>2.3976480275854812</v>
      </c>
      <c r="AO33" s="15" t="str">
        <f>IF(Table18[[#This Row],[(ipsi-contra) /contra *100]]&gt;0,"Oedema","Contraction")</f>
        <v>Contraction</v>
      </c>
      <c r="AP33" s="15">
        <f>Table18[[#This Row],[Contralateral Hemisphere]]-Table18[[#This Row],[Ipsilateral Hemisphere]]</f>
        <v>1.8634999999999877</v>
      </c>
      <c r="AQ33" s="15">
        <f>Table18[[#This Row],[Contralateral Hemisphere]]-Table18[[#This Row],[Healthy Ipsilateral Hemisphere]]</f>
        <v>10.311499999999981</v>
      </c>
      <c r="AR33" s="7">
        <v>7</v>
      </c>
      <c r="AS33" s="7">
        <v>2</v>
      </c>
      <c r="AT33" s="7">
        <f>Table18[[#This Row],['#sections of lesion]]-Table18[[#This Row],[cortex]]</f>
        <v>5</v>
      </c>
      <c r="AU33" s="44">
        <f>Table18[[#This Row],[Ipsilateral Hemisphere]]/Table18[[#This Row],[Contralateral Hemisphere]]</f>
        <v>0.97602351972414514</v>
      </c>
      <c r="AV33" s="44">
        <f>Table18[[#This Row],[Contralateral Hemisphere]]/Table18[[#This Row],[Ipsilateral Hemisphere]]</f>
        <v>1.0245654738757026</v>
      </c>
    </row>
    <row r="34" spans="1:48" ht="14.25" customHeight="1" thickBot="1" x14ac:dyDescent="0.35">
      <c r="A34" s="22"/>
      <c r="B34" s="2" t="s">
        <v>32</v>
      </c>
      <c r="C34" s="15"/>
      <c r="D34" s="15"/>
      <c r="E34" s="37">
        <v>0.52</v>
      </c>
      <c r="F34" s="15">
        <v>0.48</v>
      </c>
      <c r="G34" s="15">
        <v>0.5</v>
      </c>
      <c r="H34" s="15">
        <v>0.5</v>
      </c>
      <c r="I34" s="15">
        <v>0.52</v>
      </c>
      <c r="J34" s="15">
        <v>0.48</v>
      </c>
      <c r="K34" s="38">
        <v>0.5</v>
      </c>
      <c r="L34" s="15"/>
      <c r="M34" s="15"/>
      <c r="N34" s="15"/>
      <c r="O34" s="15"/>
      <c r="P34" s="16"/>
      <c r="Q34" s="22"/>
      <c r="R34" s="22"/>
      <c r="S34" s="2" t="s">
        <v>97</v>
      </c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39"/>
      <c r="AG34" s="20" t="s">
        <v>43</v>
      </c>
      <c r="AH34" s="3" t="s">
        <v>182</v>
      </c>
      <c r="AI34" s="33">
        <v>9.4815799999999992</v>
      </c>
      <c r="AJ34" s="21">
        <v>79.779439999999994</v>
      </c>
      <c r="AK34" s="21">
        <v>77.30380000000001</v>
      </c>
      <c r="AL34" s="21">
        <v>67.822220000000002</v>
      </c>
      <c r="AM34" s="15">
        <f>((Table18[[#This Row],[Ipsilateral Hemisphere]]-Table18[[#This Row],[Contralateral Hemisphere]])/Table18[[#This Row],[Contralateral Hemisphere]])*100</f>
        <v>-3.1031052612051231</v>
      </c>
      <c r="AN34" s="15">
        <f>(Table18[[#This Row],[Contralateral Hemisphere]]-Table18[[#This Row],[Ipsilateral Hemisphere]])/Table18[[#This Row],[Contralateral Hemisphere]]*100</f>
        <v>3.1031052612051231</v>
      </c>
      <c r="AO34" s="15" t="str">
        <f>IF(Table18[[#This Row],[(ipsi-contra) /contra *100]]&gt;0,"Oedema","Contraction")</f>
        <v>Contraction</v>
      </c>
      <c r="AP34" s="15">
        <f>Table18[[#This Row],[Contralateral Hemisphere]]-Table18[[#This Row],[Ipsilateral Hemisphere]]</f>
        <v>2.4756399999999843</v>
      </c>
      <c r="AQ34" s="15">
        <f>Table18[[#This Row],[Contralateral Hemisphere]]-Table18[[#This Row],[Healthy Ipsilateral Hemisphere]]</f>
        <v>11.957219999999992</v>
      </c>
      <c r="AR34" s="7">
        <v>7</v>
      </c>
      <c r="AS34" s="7">
        <v>1</v>
      </c>
      <c r="AT34" s="7">
        <f>Table18[[#This Row],['#sections of lesion]]-Table18[[#This Row],[cortex]]</f>
        <v>6</v>
      </c>
      <c r="AU34" s="44">
        <f>Table18[[#This Row],[Ipsilateral Hemisphere]]/Table18[[#This Row],[Contralateral Hemisphere]]</f>
        <v>0.96896894738794881</v>
      </c>
      <c r="AV34" s="44">
        <f>Table18[[#This Row],[Contralateral Hemisphere]]/Table18[[#This Row],[Ipsilateral Hemisphere]]</f>
        <v>1.032024816373839</v>
      </c>
    </row>
    <row r="35" spans="1:48" ht="15.75" customHeight="1" thickBot="1" x14ac:dyDescent="0.35">
      <c r="A35" s="216" t="s">
        <v>122</v>
      </c>
      <c r="B35" s="13" t="s">
        <v>98</v>
      </c>
      <c r="C35" s="14"/>
      <c r="D35" s="14"/>
      <c r="E35" s="34">
        <v>0</v>
      </c>
      <c r="F35" s="14">
        <v>0.69399999999999995</v>
      </c>
      <c r="G35" s="14">
        <v>2.8319999999999999</v>
      </c>
      <c r="H35" s="14">
        <v>3.5950000000000002</v>
      </c>
      <c r="I35" s="14">
        <v>3.746</v>
      </c>
      <c r="J35" s="14">
        <v>3.3439999999999999</v>
      </c>
      <c r="K35" s="35">
        <v>2.9830000000000001</v>
      </c>
      <c r="L35" s="14"/>
      <c r="M35" s="14"/>
      <c r="N35" s="15" t="s">
        <v>109</v>
      </c>
      <c r="O35" s="16">
        <f t="shared" ref="O35" si="27">COUNTIF(A35:L35, "&gt;0" )</f>
        <v>6</v>
      </c>
      <c r="Q35" s="216" t="s">
        <v>122</v>
      </c>
      <c r="R35" s="216" t="s">
        <v>2</v>
      </c>
      <c r="S35" s="36" t="s">
        <v>98</v>
      </c>
      <c r="T35" s="18"/>
      <c r="U35" s="18"/>
      <c r="V35" s="18">
        <f t="shared" ref="V35:AB35" si="28">E35*E42</f>
        <v>0</v>
      </c>
      <c r="W35" s="18">
        <f t="shared" si="28"/>
        <v>0.37475999999999998</v>
      </c>
      <c r="X35" s="18">
        <f t="shared" si="28"/>
        <v>1.4159999999999999</v>
      </c>
      <c r="Y35" s="18">
        <f t="shared" si="28"/>
        <v>1.6537000000000002</v>
      </c>
      <c r="Z35" s="18">
        <f t="shared" si="28"/>
        <v>1.873</v>
      </c>
      <c r="AA35" s="18">
        <f t="shared" si="28"/>
        <v>1.6719999999999999</v>
      </c>
      <c r="AB35" s="18">
        <f t="shared" si="28"/>
        <v>1.4915</v>
      </c>
      <c r="AC35" s="18"/>
      <c r="AD35" s="33">
        <f>SUM(T35:AC35)</f>
        <v>8.4809599999999996</v>
      </c>
      <c r="AE35" s="25"/>
      <c r="AG35" s="20" t="s">
        <v>45</v>
      </c>
      <c r="AH35" s="3" t="s">
        <v>181</v>
      </c>
      <c r="AI35" s="33">
        <v>13.626999999999999</v>
      </c>
      <c r="AJ35" s="21">
        <v>75.698999999999998</v>
      </c>
      <c r="AK35" s="21">
        <v>72.608999999999995</v>
      </c>
      <c r="AL35" s="21">
        <v>58.981999999999999</v>
      </c>
      <c r="AM35" s="15">
        <f>((Table18[[#This Row],[Ipsilateral Hemisphere]]-Table18[[#This Row],[Contralateral Hemisphere]])/Table18[[#This Row],[Contralateral Hemisphere]])*100</f>
        <v>-4.0819561685094961</v>
      </c>
      <c r="AN35" s="15">
        <f>(Table18[[#This Row],[Contralateral Hemisphere]]-Table18[[#This Row],[Ipsilateral Hemisphere]])/Table18[[#This Row],[Contralateral Hemisphere]]*100</f>
        <v>4.0819561685094961</v>
      </c>
      <c r="AO35" s="15" t="str">
        <f>IF(Table18[[#This Row],[(ipsi-contra) /contra *100]]&gt;0,"Oedema","Contraction")</f>
        <v>Contraction</v>
      </c>
      <c r="AP35" s="15">
        <f>Table18[[#This Row],[Contralateral Hemisphere]]-Table18[[#This Row],[Ipsilateral Hemisphere]]</f>
        <v>3.0900000000000034</v>
      </c>
      <c r="AQ35" s="15">
        <f>Table18[[#This Row],[Contralateral Hemisphere]]-Table18[[#This Row],[Healthy Ipsilateral Hemisphere]]</f>
        <v>16.716999999999999</v>
      </c>
      <c r="AR35" s="7">
        <v>7</v>
      </c>
      <c r="AS35" s="7">
        <v>0</v>
      </c>
      <c r="AT35" s="7">
        <f>Table18[[#This Row],['#sections of lesion]]-Table18[[#This Row],[cortex]]</f>
        <v>7</v>
      </c>
      <c r="AU35" s="44">
        <f>Table18[[#This Row],[Ipsilateral Hemisphere]]/Table18[[#This Row],[Contralateral Hemisphere]]</f>
        <v>0.95918043831490507</v>
      </c>
      <c r="AV35" s="44">
        <f>Table18[[#This Row],[Contralateral Hemisphere]]/Table18[[#This Row],[Ipsilateral Hemisphere]]</f>
        <v>1.0425567078461349</v>
      </c>
    </row>
    <row r="36" spans="1:48" ht="15.75" customHeight="1" thickBot="1" x14ac:dyDescent="0.35">
      <c r="A36" s="217"/>
      <c r="B36" s="2" t="s">
        <v>110</v>
      </c>
      <c r="C36" s="15"/>
      <c r="D36" s="15"/>
      <c r="E36" s="37"/>
      <c r="F36" s="15" t="s">
        <v>111</v>
      </c>
      <c r="G36" s="15" t="s">
        <v>111</v>
      </c>
      <c r="H36" s="15" t="s">
        <v>111</v>
      </c>
      <c r="I36" s="15" t="s">
        <v>111</v>
      </c>
      <c r="J36" s="15" t="s">
        <v>111</v>
      </c>
      <c r="K36" s="38" t="s">
        <v>111</v>
      </c>
      <c r="L36" s="15"/>
      <c r="M36" s="15"/>
      <c r="N36" s="15" t="s">
        <v>105</v>
      </c>
      <c r="O36" s="15">
        <f t="shared" ref="O36" si="29">COUNTIF(A36:L36,"Cortex")</f>
        <v>6</v>
      </c>
      <c r="Q36" s="217"/>
      <c r="R36" s="217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21"/>
      <c r="AG36" s="20" t="s">
        <v>46</v>
      </c>
      <c r="AH36" s="3" t="s">
        <v>182</v>
      </c>
      <c r="AI36" s="33">
        <v>8.0380800000000008</v>
      </c>
      <c r="AJ36" s="21">
        <v>74.72453999999999</v>
      </c>
      <c r="AK36" s="21">
        <v>69.390780000000007</v>
      </c>
      <c r="AL36" s="21">
        <v>61.352699999999999</v>
      </c>
      <c r="AM36" s="15">
        <f>((Table18[[#This Row],[Ipsilateral Hemisphere]]-Table18[[#This Row],[Contralateral Hemisphere]])/Table18[[#This Row],[Contralateral Hemisphere]])*100</f>
        <v>-7.1378960646662852</v>
      </c>
      <c r="AN36" s="15">
        <f>(Table18[[#This Row],[Contralateral Hemisphere]]-Table18[[#This Row],[Ipsilateral Hemisphere]])/Table18[[#This Row],[Contralateral Hemisphere]]*100</f>
        <v>7.1378960646662852</v>
      </c>
      <c r="AO36" s="15" t="str">
        <f>IF(Table18[[#This Row],[(ipsi-contra) /contra *100]]&gt;0,"Oedema","Contraction")</f>
        <v>Contraction</v>
      </c>
      <c r="AP36" s="15">
        <f>Table18[[#This Row],[Contralateral Hemisphere]]-Table18[[#This Row],[Ipsilateral Hemisphere]]</f>
        <v>5.3337599999999838</v>
      </c>
      <c r="AQ36" s="15">
        <f>Table18[[#This Row],[Contralateral Hemisphere]]-Table18[[#This Row],[Healthy Ipsilateral Hemisphere]]</f>
        <v>13.371839999999992</v>
      </c>
      <c r="AR36" s="7">
        <v>7</v>
      </c>
      <c r="AS36" s="7">
        <v>5</v>
      </c>
      <c r="AT36" s="7">
        <f>Table18[[#This Row],['#sections of lesion]]-Table18[[#This Row],[cortex]]</f>
        <v>2</v>
      </c>
      <c r="AU36" s="44">
        <f>Table18[[#This Row],[Ipsilateral Hemisphere]]/Table18[[#This Row],[Contralateral Hemisphere]]</f>
        <v>0.92862103935333717</v>
      </c>
      <c r="AV36" s="44">
        <f>Table18[[#This Row],[Contralateral Hemisphere]]/Table18[[#This Row],[Ipsilateral Hemisphere]]</f>
        <v>1.0768655432321121</v>
      </c>
    </row>
    <row r="37" spans="1:48" ht="15.75" customHeight="1" thickBot="1" x14ac:dyDescent="0.35">
      <c r="A37" s="217"/>
      <c r="B37" s="2" t="s">
        <v>99</v>
      </c>
      <c r="C37" s="15"/>
      <c r="D37" s="15"/>
      <c r="E37" s="37">
        <v>14.046000000000001</v>
      </c>
      <c r="F37" s="15">
        <v>18.513000000000002</v>
      </c>
      <c r="G37" s="15">
        <v>20.766999999999999</v>
      </c>
      <c r="H37" s="15">
        <v>22.706</v>
      </c>
      <c r="I37" s="15">
        <v>23.58</v>
      </c>
      <c r="J37" s="15">
        <v>27.54</v>
      </c>
      <c r="K37" s="38">
        <v>27.523</v>
      </c>
      <c r="L37" s="15"/>
      <c r="M37" s="15"/>
      <c r="N37" s="15" t="s">
        <v>106</v>
      </c>
      <c r="O37" s="15">
        <f t="shared" ref="O37" si="30">O35-O36</f>
        <v>0</v>
      </c>
      <c r="Q37" s="217"/>
      <c r="R37" s="217"/>
      <c r="S37" s="2" t="s">
        <v>99</v>
      </c>
      <c r="T37" s="15"/>
      <c r="U37" s="15"/>
      <c r="V37" s="15">
        <f t="shared" ref="V37:AB37" si="31">E37*E42</f>
        <v>7.0230000000000006</v>
      </c>
      <c r="W37" s="15">
        <f t="shared" si="31"/>
        <v>9.9970200000000009</v>
      </c>
      <c r="X37" s="15">
        <f t="shared" si="31"/>
        <v>10.3835</v>
      </c>
      <c r="Y37" s="15">
        <f t="shared" si="31"/>
        <v>10.44476</v>
      </c>
      <c r="Z37" s="15">
        <f t="shared" si="31"/>
        <v>11.79</v>
      </c>
      <c r="AA37" s="15">
        <f t="shared" si="31"/>
        <v>13.77</v>
      </c>
      <c r="AB37" s="15">
        <f t="shared" si="31"/>
        <v>13.7615</v>
      </c>
      <c r="AC37" s="15"/>
      <c r="AD37" s="21">
        <f>SUM(T37:AC37)</f>
        <v>77.169780000000003</v>
      </c>
      <c r="AG37" s="20" t="s">
        <v>47</v>
      </c>
      <c r="AH37" s="3" t="s">
        <v>183</v>
      </c>
      <c r="AI37" s="33">
        <v>11.4787</v>
      </c>
      <c r="AJ37" s="21">
        <v>75.281539999999993</v>
      </c>
      <c r="AK37" s="21">
        <v>77.937720000000013</v>
      </c>
      <c r="AL37" s="21">
        <v>66.459019999999995</v>
      </c>
      <c r="AM37" s="15">
        <f>((Table18[[#This Row],[Ipsilateral Hemisphere]]-Table18[[#This Row],[Contralateral Hemisphere]])/Table18[[#This Row],[Contralateral Hemisphere]])*100</f>
        <v>3.5283284587430339</v>
      </c>
      <c r="AN37" s="15">
        <f>(Table18[[#This Row],[Contralateral Hemisphere]]-Table18[[#This Row],[Ipsilateral Hemisphere]])/Table18[[#This Row],[Contralateral Hemisphere]]*100</f>
        <v>-3.5283284587430339</v>
      </c>
      <c r="AO37" s="15" t="str">
        <f>IF(Table18[[#This Row],[(ipsi-contra) /contra *100]]&gt;0,"Oedema","Contraction")</f>
        <v>Oedema</v>
      </c>
      <c r="AP37" s="15">
        <f>Table18[[#This Row],[Contralateral Hemisphere]]-Table18[[#This Row],[Ipsilateral Hemisphere]]</f>
        <v>-2.6561800000000204</v>
      </c>
      <c r="AQ37" s="15">
        <f>Table18[[#This Row],[Contralateral Hemisphere]]-Table18[[#This Row],[Healthy Ipsilateral Hemisphere]]</f>
        <v>8.8225199999999973</v>
      </c>
      <c r="AR37" s="7">
        <v>7</v>
      </c>
      <c r="AS37" s="7">
        <v>3</v>
      </c>
      <c r="AT37" s="7">
        <f>Table18[[#This Row],['#sections of lesion]]-Table18[[#This Row],[cortex]]</f>
        <v>4</v>
      </c>
      <c r="AU37" s="44">
        <f>Table18[[#This Row],[Ipsilateral Hemisphere]]/Table18[[#This Row],[Contralateral Hemisphere]]</f>
        <v>1.0352832845874302</v>
      </c>
      <c r="AV37" s="44">
        <f>Table18[[#This Row],[Contralateral Hemisphere]]/Table18[[#This Row],[Ipsilateral Hemisphere]]</f>
        <v>0.96591919804685045</v>
      </c>
    </row>
    <row r="38" spans="1:48" ht="15.75" customHeight="1" thickBot="1" x14ac:dyDescent="0.35">
      <c r="A38" s="217"/>
      <c r="B38" s="2" t="s">
        <v>100</v>
      </c>
      <c r="C38" s="15"/>
      <c r="D38" s="15"/>
      <c r="E38" s="37">
        <v>14.89</v>
      </c>
      <c r="F38" s="15">
        <v>17.748000000000001</v>
      </c>
      <c r="G38" s="15">
        <v>19.515999999999998</v>
      </c>
      <c r="H38" s="15">
        <v>21.335000000000001</v>
      </c>
      <c r="I38" s="15">
        <v>22.657</v>
      </c>
      <c r="J38" s="15">
        <v>27.454999999999998</v>
      </c>
      <c r="K38" s="38">
        <v>26.510999999999999</v>
      </c>
      <c r="L38" s="15"/>
      <c r="M38" s="15"/>
      <c r="N38" s="15" t="s">
        <v>113</v>
      </c>
      <c r="O38" s="16">
        <f t="shared" ref="O38" si="32">COUNTIF(A35:M35, "&gt;=0" )</f>
        <v>7</v>
      </c>
      <c r="Q38" s="217"/>
      <c r="R38" s="217"/>
      <c r="S38" s="2" t="s">
        <v>100</v>
      </c>
      <c r="T38" s="15"/>
      <c r="U38" s="15"/>
      <c r="V38" s="15">
        <f t="shared" ref="V38:AB38" si="33">E38*E42</f>
        <v>7.4450000000000003</v>
      </c>
      <c r="W38" s="15">
        <f t="shared" si="33"/>
        <v>9.5839200000000009</v>
      </c>
      <c r="X38" s="15">
        <f t="shared" si="33"/>
        <v>9.7579999999999991</v>
      </c>
      <c r="Y38" s="15">
        <f t="shared" si="33"/>
        <v>9.8141000000000016</v>
      </c>
      <c r="Z38" s="15">
        <f t="shared" si="33"/>
        <v>11.3285</v>
      </c>
      <c r="AA38" s="15">
        <f t="shared" si="33"/>
        <v>13.727499999999999</v>
      </c>
      <c r="AB38" s="15">
        <f t="shared" si="33"/>
        <v>13.2555</v>
      </c>
      <c r="AC38" s="15"/>
      <c r="AD38" s="21">
        <f>SUM(T38:AC38)</f>
        <v>74.912520000000001</v>
      </c>
      <c r="AG38" s="20" t="s">
        <v>48</v>
      </c>
      <c r="AH38" s="3" t="s">
        <v>181</v>
      </c>
      <c r="AI38" s="33">
        <v>7.3883600000000005</v>
      </c>
      <c r="AJ38" s="21">
        <v>77.492760000000004</v>
      </c>
      <c r="AK38" s="21">
        <v>77.443819999999988</v>
      </c>
      <c r="AL38" s="21">
        <v>70.055460000000011</v>
      </c>
      <c r="AM38" s="15">
        <f>((Table18[[#This Row],[Ipsilateral Hemisphere]]-Table18[[#This Row],[Contralateral Hemisphere]])/Table18[[#This Row],[Contralateral Hemisphere]])*100</f>
        <v>-6.315428692953505E-2</v>
      </c>
      <c r="AN38" s="15">
        <f>(Table18[[#This Row],[Contralateral Hemisphere]]-Table18[[#This Row],[Ipsilateral Hemisphere]])/Table18[[#This Row],[Contralateral Hemisphere]]*100</f>
        <v>6.315428692953505E-2</v>
      </c>
      <c r="AO38" s="15" t="str">
        <f>IF(Table18[[#This Row],[(ipsi-contra) /contra *100]]&gt;0,"Oedema","Contraction")</f>
        <v>Contraction</v>
      </c>
      <c r="AP38" s="15">
        <f>Table18[[#This Row],[Contralateral Hemisphere]]-Table18[[#This Row],[Ipsilateral Hemisphere]]</f>
        <v>4.8940000000015971E-2</v>
      </c>
      <c r="AQ38" s="15">
        <f>Table18[[#This Row],[Contralateral Hemisphere]]-Table18[[#This Row],[Healthy Ipsilateral Hemisphere]]</f>
        <v>7.4372999999999934</v>
      </c>
      <c r="AR38" s="7">
        <v>7</v>
      </c>
      <c r="AS38" s="7">
        <v>2</v>
      </c>
      <c r="AT38" s="7">
        <f>Table18[[#This Row],['#sections of lesion]]-Table18[[#This Row],[cortex]]</f>
        <v>5</v>
      </c>
      <c r="AU38" s="44">
        <f>Table18[[#This Row],[Ipsilateral Hemisphere]]/Table18[[#This Row],[Contralateral Hemisphere]]</f>
        <v>0.99936845713070466</v>
      </c>
      <c r="AV38" s="44">
        <f>Table18[[#This Row],[Contralateral Hemisphere]]/Table18[[#This Row],[Ipsilateral Hemisphere]]</f>
        <v>1.000631941967739</v>
      </c>
    </row>
    <row r="39" spans="1:48" ht="16.2" thickBot="1" x14ac:dyDescent="0.35">
      <c r="A39" s="22"/>
      <c r="B39" s="2" t="s">
        <v>114</v>
      </c>
      <c r="C39" s="15"/>
      <c r="D39" s="15"/>
      <c r="E39" s="37">
        <v>14.89</v>
      </c>
      <c r="F39" s="15">
        <v>17.054000000000002</v>
      </c>
      <c r="G39" s="15">
        <v>16.683999999999997</v>
      </c>
      <c r="H39" s="15">
        <v>17.740000000000002</v>
      </c>
      <c r="I39" s="15">
        <v>18.911000000000001</v>
      </c>
      <c r="J39" s="15">
        <v>24.110999999999997</v>
      </c>
      <c r="K39" s="38">
        <v>23.527999999999999</v>
      </c>
      <c r="L39" s="15"/>
      <c r="M39" s="15"/>
      <c r="N39" s="15"/>
      <c r="O39" s="15"/>
      <c r="Q39" s="22"/>
      <c r="R39" s="22"/>
      <c r="S39" s="2" t="s">
        <v>114</v>
      </c>
      <c r="T39" s="15"/>
      <c r="U39" s="15"/>
      <c r="V39" s="15">
        <f t="shared" ref="V39:AB39" si="34">E39*E42</f>
        <v>7.4450000000000003</v>
      </c>
      <c r="W39" s="15">
        <f t="shared" si="34"/>
        <v>9.2091600000000025</v>
      </c>
      <c r="X39" s="15">
        <f t="shared" si="34"/>
        <v>8.3419999999999987</v>
      </c>
      <c r="Y39" s="15">
        <f t="shared" si="34"/>
        <v>8.160400000000001</v>
      </c>
      <c r="Z39" s="15">
        <f t="shared" si="34"/>
        <v>9.4555000000000007</v>
      </c>
      <c r="AA39" s="15">
        <f t="shared" si="34"/>
        <v>12.055499999999999</v>
      </c>
      <c r="AB39" s="15">
        <f t="shared" si="34"/>
        <v>11.763999999999999</v>
      </c>
      <c r="AC39" s="15"/>
      <c r="AD39" s="21">
        <f>SUM(T39:AC39)</f>
        <v>66.431560000000005</v>
      </c>
      <c r="AG39" s="20" t="s">
        <v>49</v>
      </c>
      <c r="AH39" s="3" t="s">
        <v>181</v>
      </c>
      <c r="AI39" s="33">
        <v>13.778280000000001</v>
      </c>
      <c r="AJ39" s="21">
        <v>75.779359999999997</v>
      </c>
      <c r="AK39" s="21">
        <v>77.288920000000005</v>
      </c>
      <c r="AL39" s="21">
        <v>63.510639999999995</v>
      </c>
      <c r="AM39" s="15">
        <f>((Table18[[#This Row],[Ipsilateral Hemisphere]]-Table18[[#This Row],[Contralateral Hemisphere]])/Table18[[#This Row],[Contralateral Hemisphere]])*100</f>
        <v>1.9920463830784632</v>
      </c>
      <c r="AN39" s="15">
        <f>(Table18[[#This Row],[Contralateral Hemisphere]]-Table18[[#This Row],[Ipsilateral Hemisphere]])/Table18[[#This Row],[Contralateral Hemisphere]]*100</f>
        <v>-1.9920463830784632</v>
      </c>
      <c r="AO39" s="15" t="str">
        <f>IF(Table18[[#This Row],[(ipsi-contra) /contra *100]]&gt;0,"Oedema","Contraction")</f>
        <v>Oedema</v>
      </c>
      <c r="AP39" s="15">
        <f>Table18[[#This Row],[Contralateral Hemisphere]]-Table18[[#This Row],[Ipsilateral Hemisphere]]</f>
        <v>-1.5095600000000076</v>
      </c>
      <c r="AQ39" s="15">
        <f>Table18[[#This Row],[Contralateral Hemisphere]]-Table18[[#This Row],[Healthy Ipsilateral Hemisphere]]</f>
        <v>12.268720000000002</v>
      </c>
      <c r="AR39" s="7">
        <v>7</v>
      </c>
      <c r="AS39" s="7">
        <v>1</v>
      </c>
      <c r="AT39" s="7">
        <f>Table18[[#This Row],['#sections of lesion]]-Table18[[#This Row],[cortex]]</f>
        <v>6</v>
      </c>
      <c r="AU39" s="44">
        <f>Table18[[#This Row],[Ipsilateral Hemisphere]]/Table18[[#This Row],[Contralateral Hemisphere]]</f>
        <v>1.0199204638307846</v>
      </c>
      <c r="AV39" s="44">
        <f>Table18[[#This Row],[Contralateral Hemisphere]]/Table18[[#This Row],[Ipsilateral Hemisphere]]</f>
        <v>0.98046861050717227</v>
      </c>
    </row>
    <row r="40" spans="1:48" ht="16.2" thickBot="1" x14ac:dyDescent="0.35">
      <c r="A40" s="22"/>
      <c r="C40" s="15"/>
      <c r="D40" s="15"/>
      <c r="E40" s="37"/>
      <c r="F40" s="15"/>
      <c r="G40" s="15"/>
      <c r="H40" s="15"/>
      <c r="I40" s="15"/>
      <c r="J40" s="15"/>
      <c r="K40" s="38"/>
      <c r="L40" s="15"/>
      <c r="M40" s="15"/>
      <c r="N40" s="15"/>
      <c r="O40" s="15"/>
      <c r="Q40" s="22"/>
      <c r="R40" s="22"/>
      <c r="S40" s="1" t="s">
        <v>115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33">
        <f>(AD37-AD38)/AD37*100</f>
        <v>2.9250569329081957</v>
      </c>
      <c r="AE40" s="25"/>
      <c r="AG40" s="20" t="s">
        <v>50</v>
      </c>
      <c r="AH40" s="3" t="s">
        <v>183</v>
      </c>
      <c r="AI40" s="33">
        <v>13.051299999999999</v>
      </c>
      <c r="AJ40" s="21">
        <v>78.757040000000003</v>
      </c>
      <c r="AK40" s="21">
        <v>80.626979999999989</v>
      </c>
      <c r="AL40" s="21">
        <v>67.575679999999991</v>
      </c>
      <c r="AM40" s="15">
        <f>((Table18[[#This Row],[Ipsilateral Hemisphere]]-Table18[[#This Row],[Contralateral Hemisphere]])/Table18[[#This Row],[Contralateral Hemisphere]])*100</f>
        <v>2.3743147279277963</v>
      </c>
      <c r="AN40" s="15">
        <f>(Table18[[#This Row],[Contralateral Hemisphere]]-Table18[[#This Row],[Ipsilateral Hemisphere]])/Table18[[#This Row],[Contralateral Hemisphere]]*100</f>
        <v>-2.3743147279277963</v>
      </c>
      <c r="AO40" s="15" t="str">
        <f>IF(Table18[[#This Row],[(ipsi-contra) /contra *100]]&gt;0,"Oedema","Contraction")</f>
        <v>Oedema</v>
      </c>
      <c r="AP40" s="15">
        <f>Table18[[#This Row],[Contralateral Hemisphere]]-Table18[[#This Row],[Ipsilateral Hemisphere]]</f>
        <v>-1.8699399999999855</v>
      </c>
      <c r="AQ40" s="15">
        <f>Table18[[#This Row],[Contralateral Hemisphere]]-Table18[[#This Row],[Healthy Ipsilateral Hemisphere]]</f>
        <v>11.181360000000012</v>
      </c>
      <c r="AR40" s="7">
        <v>7</v>
      </c>
      <c r="AS40" s="7">
        <v>2</v>
      </c>
      <c r="AT40" s="7">
        <f>Table18[[#This Row],['#sections of lesion]]-Table18[[#This Row],[cortex]]</f>
        <v>5</v>
      </c>
      <c r="AU40" s="44">
        <f>Table18[[#This Row],[Ipsilateral Hemisphere]]/Table18[[#This Row],[Contralateral Hemisphere]]</f>
        <v>1.023743147279278</v>
      </c>
      <c r="AV40" s="44">
        <f>Table18[[#This Row],[Contralateral Hemisphere]]/Table18[[#This Row],[Ipsilateral Hemisphere]]</f>
        <v>0.97680751530070964</v>
      </c>
    </row>
    <row r="41" spans="1:48" ht="16.2" thickBot="1" x14ac:dyDescent="0.35">
      <c r="A41" s="22"/>
      <c r="C41" s="15"/>
      <c r="D41" s="15"/>
      <c r="E41" s="37"/>
      <c r="F41" s="15"/>
      <c r="G41" s="15"/>
      <c r="H41" s="15"/>
      <c r="I41" s="15"/>
      <c r="J41" s="15"/>
      <c r="K41" s="38"/>
      <c r="L41" s="15"/>
      <c r="M41" s="15"/>
      <c r="N41" s="15"/>
      <c r="O41" s="15"/>
      <c r="Q41" s="22"/>
      <c r="R41" s="22"/>
      <c r="S41" s="1" t="s">
        <v>103</v>
      </c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33">
        <f>AD37-AD39</f>
        <v>10.738219999999998</v>
      </c>
      <c r="AE41" s="25"/>
      <c r="AG41" s="20" t="s">
        <v>51</v>
      </c>
      <c r="AH41" s="3" t="s">
        <v>182</v>
      </c>
      <c r="AI41" s="33">
        <v>7.3275000000000006</v>
      </c>
      <c r="AJ41" s="21">
        <v>85.140500000000003</v>
      </c>
      <c r="AK41" s="21">
        <v>81.811999999999998</v>
      </c>
      <c r="AL41" s="21">
        <v>74.484499999999997</v>
      </c>
      <c r="AM41" s="15">
        <f>((Table18[[#This Row],[Ipsilateral Hemisphere]]-Table18[[#This Row],[Contralateral Hemisphere]])/Table18[[#This Row],[Contralateral Hemisphere]])*100</f>
        <v>-3.9094203111327808</v>
      </c>
      <c r="AN41" s="15">
        <f>(Table18[[#This Row],[Contralateral Hemisphere]]-Table18[[#This Row],[Ipsilateral Hemisphere]])/Table18[[#This Row],[Contralateral Hemisphere]]*100</f>
        <v>3.9094203111327808</v>
      </c>
      <c r="AO41" s="15" t="str">
        <f>IF(Table18[[#This Row],[(ipsi-contra) /contra *100]]&gt;0,"Oedema","Contraction")</f>
        <v>Contraction</v>
      </c>
      <c r="AP41" s="15">
        <f>Table18[[#This Row],[Contralateral Hemisphere]]-Table18[[#This Row],[Ipsilateral Hemisphere]]</f>
        <v>3.3285000000000053</v>
      </c>
      <c r="AQ41" s="15">
        <f>Table18[[#This Row],[Contralateral Hemisphere]]-Table18[[#This Row],[Healthy Ipsilateral Hemisphere]]</f>
        <v>10.656000000000006</v>
      </c>
      <c r="AR41" s="7">
        <v>7</v>
      </c>
      <c r="AS41" s="7">
        <v>4</v>
      </c>
      <c r="AT41" s="7">
        <f>Table18[[#This Row],['#sections of lesion]]-Table18[[#This Row],[cortex]]</f>
        <v>3</v>
      </c>
      <c r="AU41" s="44">
        <f>Table18[[#This Row],[Ipsilateral Hemisphere]]/Table18[[#This Row],[Contralateral Hemisphere]]</f>
        <v>0.96090579688867217</v>
      </c>
      <c r="AV41" s="44">
        <f>Table18[[#This Row],[Contralateral Hemisphere]]/Table18[[#This Row],[Ipsilateral Hemisphere]]</f>
        <v>1.0406847406248472</v>
      </c>
    </row>
    <row r="42" spans="1:48" ht="16.2" thickBot="1" x14ac:dyDescent="0.35">
      <c r="A42" s="22"/>
      <c r="B42" s="2" t="s">
        <v>32</v>
      </c>
      <c r="C42" s="15"/>
      <c r="D42" s="15"/>
      <c r="E42" s="40">
        <v>0.5</v>
      </c>
      <c r="F42" s="15">
        <v>0.54</v>
      </c>
      <c r="G42" s="15">
        <v>0.5</v>
      </c>
      <c r="H42" s="15">
        <v>0.46</v>
      </c>
      <c r="I42" s="15">
        <v>0.5</v>
      </c>
      <c r="J42" s="15">
        <v>0.5</v>
      </c>
      <c r="K42" s="41">
        <v>0.5</v>
      </c>
      <c r="L42" s="15"/>
      <c r="M42" s="15"/>
      <c r="N42" s="15"/>
      <c r="O42" s="15"/>
      <c r="P42" s="16"/>
      <c r="Q42" s="22"/>
      <c r="R42" s="22"/>
      <c r="S42" s="2" t="s">
        <v>97</v>
      </c>
      <c r="T42" s="221" t="s">
        <v>123</v>
      </c>
      <c r="U42" s="221"/>
      <c r="V42" s="221"/>
      <c r="W42" s="221"/>
      <c r="X42" s="221"/>
      <c r="Y42" s="221"/>
      <c r="Z42" s="221"/>
      <c r="AA42" s="221"/>
      <c r="AB42" s="221"/>
      <c r="AC42" s="221"/>
      <c r="AD42" s="39"/>
      <c r="AG42" s="20" t="s">
        <v>52</v>
      </c>
      <c r="AH42" s="3" t="s">
        <v>181</v>
      </c>
      <c r="AI42" s="33">
        <v>7.3652800000000003</v>
      </c>
      <c r="AJ42" s="21">
        <v>76.94995999999999</v>
      </c>
      <c r="AK42" s="21">
        <v>77.28116</v>
      </c>
      <c r="AL42" s="21">
        <v>69.915880000000001</v>
      </c>
      <c r="AM42" s="15">
        <f>((Table18[[#This Row],[Ipsilateral Hemisphere]]-Table18[[#This Row],[Contralateral Hemisphere]])/Table18[[#This Row],[Contralateral Hemisphere]])*100</f>
        <v>0.43040958045983357</v>
      </c>
      <c r="AN42" s="15">
        <f>(Table18[[#This Row],[Contralateral Hemisphere]]-Table18[[#This Row],[Ipsilateral Hemisphere]])/Table18[[#This Row],[Contralateral Hemisphere]]*100</f>
        <v>-0.43040958045983357</v>
      </c>
      <c r="AO42" s="15" t="str">
        <f>IF(Table18[[#This Row],[(ipsi-contra) /contra *100]]&gt;0,"Oedema","Contraction")</f>
        <v>Oedema</v>
      </c>
      <c r="AP42" s="15">
        <f>Table18[[#This Row],[Contralateral Hemisphere]]-Table18[[#This Row],[Ipsilateral Hemisphere]]</f>
        <v>-0.33120000000000971</v>
      </c>
      <c r="AQ42" s="15">
        <f>Table18[[#This Row],[Contralateral Hemisphere]]-Table18[[#This Row],[Healthy Ipsilateral Hemisphere]]</f>
        <v>7.0340799999999888</v>
      </c>
      <c r="AR42" s="7">
        <v>7</v>
      </c>
      <c r="AS42" s="7">
        <v>5</v>
      </c>
      <c r="AT42" s="7">
        <f>Table18[[#This Row],['#sections of lesion]]-Table18[[#This Row],[cortex]]</f>
        <v>2</v>
      </c>
      <c r="AU42" s="44">
        <f>Table18[[#This Row],[Ipsilateral Hemisphere]]/Table18[[#This Row],[Contralateral Hemisphere]]</f>
        <v>1.0043040958045983</v>
      </c>
      <c r="AV42" s="44">
        <f>Table18[[#This Row],[Contralateral Hemisphere]]/Table18[[#This Row],[Ipsilateral Hemisphere]]</f>
        <v>0.99571435004339981</v>
      </c>
    </row>
    <row r="43" spans="1:48" ht="15.75" customHeight="1" thickBot="1" x14ac:dyDescent="0.35">
      <c r="A43" s="216" t="s">
        <v>124</v>
      </c>
      <c r="B43" s="13" t="s">
        <v>98</v>
      </c>
      <c r="C43" s="14"/>
      <c r="D43" s="34">
        <v>2.7730000000000001</v>
      </c>
      <c r="E43" s="14">
        <v>2.6419999999999999</v>
      </c>
      <c r="F43" s="14">
        <v>2.9980000000000002</v>
      </c>
      <c r="G43" s="14">
        <v>3.7280000000000002</v>
      </c>
      <c r="H43" s="14">
        <v>4.141</v>
      </c>
      <c r="I43" s="14">
        <v>3.5459999999999998</v>
      </c>
      <c r="J43" s="35">
        <v>3.496</v>
      </c>
      <c r="K43" s="14"/>
      <c r="L43" s="14"/>
      <c r="M43" s="14"/>
      <c r="N43" s="15" t="s">
        <v>109</v>
      </c>
      <c r="O43" s="16">
        <f t="shared" ref="O43" si="35">COUNTIF(A43:L43, "&gt;0" )</f>
        <v>7</v>
      </c>
      <c r="Q43" s="216" t="s">
        <v>124</v>
      </c>
      <c r="R43" s="216" t="s">
        <v>2</v>
      </c>
      <c r="S43" s="36" t="s">
        <v>98</v>
      </c>
      <c r="T43" s="18"/>
      <c r="U43" s="18">
        <f t="shared" ref="U43:AA43" si="36">D43*D50</f>
        <v>1.6083399999999999</v>
      </c>
      <c r="V43" s="18">
        <f t="shared" si="36"/>
        <v>1.00396</v>
      </c>
      <c r="W43" s="18">
        <f t="shared" si="36"/>
        <v>1.6189200000000001</v>
      </c>
      <c r="X43" s="18">
        <f t="shared" si="36"/>
        <v>1.7148800000000002</v>
      </c>
      <c r="Y43" s="18">
        <f t="shared" si="36"/>
        <v>2.2361400000000002</v>
      </c>
      <c r="Z43" s="18">
        <f t="shared" si="36"/>
        <v>1.6311599999999999</v>
      </c>
      <c r="AA43" s="18">
        <f t="shared" si="36"/>
        <v>1.81792</v>
      </c>
      <c r="AB43" s="18"/>
      <c r="AC43" s="18"/>
      <c r="AD43" s="33">
        <f>SUM(T43:AC43)</f>
        <v>11.631319999999999</v>
      </c>
      <c r="AE43" s="25"/>
      <c r="AG43" s="20" t="s">
        <v>53</v>
      </c>
      <c r="AH43" s="3" t="s">
        <v>182</v>
      </c>
      <c r="AI43" s="33">
        <v>6.8052600000000005</v>
      </c>
      <c r="AJ43" s="21">
        <v>82.274760000000001</v>
      </c>
      <c r="AK43" s="21">
        <v>80.801980000000015</v>
      </c>
      <c r="AL43" s="21">
        <v>73.99672000000001</v>
      </c>
      <c r="AM43" s="15">
        <f>((Table18[[#This Row],[Ipsilateral Hemisphere]]-Table18[[#This Row],[Contralateral Hemisphere]])/Table18[[#This Row],[Contralateral Hemisphere]])*100</f>
        <v>-1.7900751093044649</v>
      </c>
      <c r="AN43" s="15">
        <f>(Table18[[#This Row],[Contralateral Hemisphere]]-Table18[[#This Row],[Ipsilateral Hemisphere]])/Table18[[#This Row],[Contralateral Hemisphere]]*100</f>
        <v>1.7900751093044649</v>
      </c>
      <c r="AO43" s="15" t="str">
        <f>IF(Table18[[#This Row],[(ipsi-contra) /contra *100]]&gt;0,"Oedema","Contraction")</f>
        <v>Contraction</v>
      </c>
      <c r="AP43" s="15">
        <f>Table18[[#This Row],[Contralateral Hemisphere]]-Table18[[#This Row],[Ipsilateral Hemisphere]]</f>
        <v>1.472779999999986</v>
      </c>
      <c r="AQ43" s="15">
        <f>Table18[[#This Row],[Contralateral Hemisphere]]-Table18[[#This Row],[Healthy Ipsilateral Hemisphere]]</f>
        <v>8.2780399999999901</v>
      </c>
      <c r="AR43" s="7">
        <v>7</v>
      </c>
      <c r="AS43" s="7">
        <v>4</v>
      </c>
      <c r="AT43" s="7">
        <f>Table18[[#This Row],['#sections of lesion]]-Table18[[#This Row],[cortex]]</f>
        <v>3</v>
      </c>
      <c r="AU43" s="44">
        <f>Table18[[#This Row],[Ipsilateral Hemisphere]]/Table18[[#This Row],[Contralateral Hemisphere]]</f>
        <v>0.98209924890695532</v>
      </c>
      <c r="AV43" s="44">
        <f>Table18[[#This Row],[Contralateral Hemisphere]]/Table18[[#This Row],[Ipsilateral Hemisphere]]</f>
        <v>1.0182270285950912</v>
      </c>
    </row>
    <row r="44" spans="1:48" ht="15.75" customHeight="1" thickBot="1" x14ac:dyDescent="0.35">
      <c r="A44" s="217"/>
      <c r="B44" s="2" t="s">
        <v>110</v>
      </c>
      <c r="C44" s="15"/>
      <c r="D44" s="37" t="s">
        <v>111</v>
      </c>
      <c r="E44" s="15" t="s">
        <v>111</v>
      </c>
      <c r="F44" s="15" t="s">
        <v>125</v>
      </c>
      <c r="G44" s="15" t="s">
        <v>125</v>
      </c>
      <c r="H44" s="15" t="s">
        <v>125</v>
      </c>
      <c r="I44" s="15" t="s">
        <v>111</v>
      </c>
      <c r="J44" s="38" t="s">
        <v>126</v>
      </c>
      <c r="K44" s="15"/>
      <c r="L44" s="15"/>
      <c r="M44" s="15"/>
      <c r="N44" s="15" t="s">
        <v>105</v>
      </c>
      <c r="O44" s="15">
        <f t="shared" ref="O44" si="37">COUNTIF(A44:L44,"Cortex")</f>
        <v>3</v>
      </c>
      <c r="Q44" s="217"/>
      <c r="R44" s="217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21"/>
      <c r="AG44" s="20" t="s">
        <v>54</v>
      </c>
      <c r="AH44" s="3" t="s">
        <v>183</v>
      </c>
      <c r="AI44" s="33">
        <v>12.3089</v>
      </c>
      <c r="AJ44" s="21">
        <v>74.93874000000001</v>
      </c>
      <c r="AK44" s="21">
        <v>75.752279999999999</v>
      </c>
      <c r="AL44" s="21">
        <v>63.443379999999998</v>
      </c>
      <c r="AM44" s="15">
        <f>((Table18[[#This Row],[Ipsilateral Hemisphere]]-Table18[[#This Row],[Contralateral Hemisphere]])/Table18[[#This Row],[Contralateral Hemisphere]])*100</f>
        <v>1.0856067235717988</v>
      </c>
      <c r="AN44" s="15">
        <f>(Table18[[#This Row],[Contralateral Hemisphere]]-Table18[[#This Row],[Ipsilateral Hemisphere]])/Table18[[#This Row],[Contralateral Hemisphere]]*100</f>
        <v>-1.0856067235717988</v>
      </c>
      <c r="AO44" s="15" t="str">
        <f>IF(Table18[[#This Row],[(ipsi-contra) /contra *100]]&gt;0,"Oedema","Contraction")</f>
        <v>Oedema</v>
      </c>
      <c r="AP44" s="15">
        <f>Table18[[#This Row],[Contralateral Hemisphere]]-Table18[[#This Row],[Ipsilateral Hemisphere]]</f>
        <v>-0.81353999999998905</v>
      </c>
      <c r="AQ44" s="15">
        <f>Table18[[#This Row],[Contralateral Hemisphere]]-Table18[[#This Row],[Healthy Ipsilateral Hemisphere]]</f>
        <v>11.495360000000012</v>
      </c>
      <c r="AR44" s="7">
        <v>7</v>
      </c>
      <c r="AS44" s="7">
        <v>3</v>
      </c>
      <c r="AT44" s="7">
        <f>Table18[[#This Row],['#sections of lesion]]-Table18[[#This Row],[cortex]]</f>
        <v>4</v>
      </c>
      <c r="AU44" s="44">
        <f>Table18[[#This Row],[Ipsilateral Hemisphere]]/Table18[[#This Row],[Contralateral Hemisphere]]</f>
        <v>1.0108560672357181</v>
      </c>
      <c r="AV44" s="44">
        <f>Table18[[#This Row],[Contralateral Hemisphere]]/Table18[[#This Row],[Ipsilateral Hemisphere]]</f>
        <v>0.98926052126747888</v>
      </c>
    </row>
    <row r="45" spans="1:48" ht="15.75" customHeight="1" thickBot="1" x14ac:dyDescent="0.35">
      <c r="A45" s="217"/>
      <c r="B45" s="2" t="s">
        <v>99</v>
      </c>
      <c r="C45" s="15"/>
      <c r="D45" s="37">
        <v>18.081999999999997</v>
      </c>
      <c r="E45" s="15">
        <v>21.038</v>
      </c>
      <c r="F45" s="15">
        <v>22.803000000000001</v>
      </c>
      <c r="G45" s="15">
        <v>23.205000000000002</v>
      </c>
      <c r="H45" s="15">
        <v>24.324000000000002</v>
      </c>
      <c r="I45" s="15">
        <v>26.791</v>
      </c>
      <c r="J45" s="38">
        <v>25.864000000000001</v>
      </c>
      <c r="K45" s="15"/>
      <c r="L45" s="15"/>
      <c r="M45" s="15"/>
      <c r="N45" s="15" t="s">
        <v>106</v>
      </c>
      <c r="O45" s="15">
        <f t="shared" ref="O45" si="38">O43-O44</f>
        <v>4</v>
      </c>
      <c r="Q45" s="217"/>
      <c r="R45" s="217"/>
      <c r="S45" s="2" t="s">
        <v>99</v>
      </c>
      <c r="T45" s="15"/>
      <c r="U45" s="15">
        <f t="shared" ref="U45:AA45" si="39">D45*D50</f>
        <v>10.487559999999998</v>
      </c>
      <c r="V45" s="15">
        <f t="shared" si="39"/>
        <v>7.99444</v>
      </c>
      <c r="W45" s="15">
        <f t="shared" si="39"/>
        <v>12.313620000000002</v>
      </c>
      <c r="X45" s="15">
        <f t="shared" si="39"/>
        <v>10.674300000000001</v>
      </c>
      <c r="Y45" s="15">
        <f t="shared" si="39"/>
        <v>13.134960000000001</v>
      </c>
      <c r="Z45" s="15">
        <f t="shared" si="39"/>
        <v>12.323860000000002</v>
      </c>
      <c r="AA45" s="15">
        <f t="shared" si="39"/>
        <v>13.449280000000002</v>
      </c>
      <c r="AB45" s="15"/>
      <c r="AC45" s="15"/>
      <c r="AD45" s="21">
        <f>SUM(T45:AC45)</f>
        <v>80.378020000000006</v>
      </c>
      <c r="AG45" s="20" t="s">
        <v>55</v>
      </c>
      <c r="AH45" s="3" t="s">
        <v>181</v>
      </c>
      <c r="AI45" s="33">
        <v>8.8176799999999993</v>
      </c>
      <c r="AJ45" s="21">
        <v>74.9846</v>
      </c>
      <c r="AK45" s="21">
        <v>72.563279999999992</v>
      </c>
      <c r="AL45" s="21">
        <v>63.745599999999996</v>
      </c>
      <c r="AM45" s="15">
        <f>((Table18[[#This Row],[Ipsilateral Hemisphere]]-Table18[[#This Row],[Contralateral Hemisphere]])/Table18[[#This Row],[Contralateral Hemisphere]])*100</f>
        <v>-3.2290897064197299</v>
      </c>
      <c r="AN45" s="15">
        <f>(Table18[[#This Row],[Contralateral Hemisphere]]-Table18[[#This Row],[Ipsilateral Hemisphere]])/Table18[[#This Row],[Contralateral Hemisphere]]*100</f>
        <v>3.2290897064197299</v>
      </c>
      <c r="AO45" s="15" t="str">
        <f>IF(Table18[[#This Row],[(ipsi-contra) /contra *100]]&gt;0,"Oedema","Contraction")</f>
        <v>Contraction</v>
      </c>
      <c r="AP45" s="15">
        <f>Table18[[#This Row],[Contralateral Hemisphere]]-Table18[[#This Row],[Ipsilateral Hemisphere]]</f>
        <v>2.4213200000000086</v>
      </c>
      <c r="AQ45" s="15">
        <f>Table18[[#This Row],[Contralateral Hemisphere]]-Table18[[#This Row],[Healthy Ipsilateral Hemisphere]]</f>
        <v>11.239000000000004</v>
      </c>
      <c r="AR45" s="7">
        <v>7</v>
      </c>
      <c r="AS45" s="7">
        <v>2</v>
      </c>
      <c r="AT45" s="7">
        <f>Table18[[#This Row],['#sections of lesion]]-Table18[[#This Row],[cortex]]</f>
        <v>5</v>
      </c>
      <c r="AU45" s="44">
        <f>Table18[[#This Row],[Ipsilateral Hemisphere]]/Table18[[#This Row],[Contralateral Hemisphere]]</f>
        <v>0.9677091029358027</v>
      </c>
      <c r="AV45" s="44">
        <f>Table18[[#This Row],[Contralateral Hemisphere]]/Table18[[#This Row],[Ipsilateral Hemisphere]]</f>
        <v>1.0333683923879957</v>
      </c>
    </row>
    <row r="46" spans="1:48" ht="15.75" customHeight="1" thickBot="1" x14ac:dyDescent="0.35">
      <c r="A46" s="217"/>
      <c r="B46" s="2" t="s">
        <v>100</v>
      </c>
      <c r="C46" s="15"/>
      <c r="D46" s="37">
        <v>15.923999999999999</v>
      </c>
      <c r="E46" s="15">
        <v>18.094999999999999</v>
      </c>
      <c r="F46" s="15">
        <v>20.053999999999998</v>
      </c>
      <c r="G46" s="15">
        <v>21.960999999999999</v>
      </c>
      <c r="H46" s="15">
        <v>22.783000000000001</v>
      </c>
      <c r="I46" s="15">
        <v>26.532</v>
      </c>
      <c r="J46" s="38">
        <v>27.056999999999999</v>
      </c>
      <c r="K46" s="15"/>
      <c r="L46" s="15"/>
      <c r="M46" s="15"/>
      <c r="N46" s="15" t="s">
        <v>113</v>
      </c>
      <c r="O46" s="16">
        <f t="shared" ref="O46" si="40">COUNTIF(A43:M43, "&gt;=0" )</f>
        <v>7</v>
      </c>
      <c r="Q46" s="217"/>
      <c r="R46" s="217"/>
      <c r="S46" s="2" t="s">
        <v>100</v>
      </c>
      <c r="T46" s="15"/>
      <c r="U46" s="15">
        <f t="shared" ref="U46:AA46" si="41">D46*D50</f>
        <v>9.2359199999999984</v>
      </c>
      <c r="V46" s="15">
        <f t="shared" si="41"/>
        <v>6.8760999999999992</v>
      </c>
      <c r="W46" s="15">
        <f t="shared" si="41"/>
        <v>10.82916</v>
      </c>
      <c r="X46" s="15">
        <f t="shared" si="41"/>
        <v>10.10206</v>
      </c>
      <c r="Y46" s="15">
        <f t="shared" si="41"/>
        <v>12.302820000000002</v>
      </c>
      <c r="Z46" s="15">
        <f t="shared" si="41"/>
        <v>12.20472</v>
      </c>
      <c r="AA46" s="15">
        <f t="shared" si="41"/>
        <v>14.06964</v>
      </c>
      <c r="AB46" s="15"/>
      <c r="AC46" s="15"/>
      <c r="AD46" s="21">
        <f>SUM(T46:AC46)</f>
        <v>75.620419999999996</v>
      </c>
      <c r="AG46" s="20" t="s">
        <v>68</v>
      </c>
      <c r="AH46" s="3" t="s">
        <v>182</v>
      </c>
      <c r="AI46" s="33">
        <v>5.95418</v>
      </c>
      <c r="AJ46" s="21">
        <v>80.320139999999995</v>
      </c>
      <c r="AK46" s="21">
        <v>80.309519999999992</v>
      </c>
      <c r="AL46" s="21">
        <v>74.355339999999998</v>
      </c>
      <c r="AM46" s="15">
        <f>((Table18[[#This Row],[Ipsilateral Hemisphere]]-Table18[[#This Row],[Contralateral Hemisphere]])/Table18[[#This Row],[Contralateral Hemisphere]])*100</f>
        <v>-1.3222088507319535E-2</v>
      </c>
      <c r="AN46" s="15">
        <f>(Table18[[#This Row],[Contralateral Hemisphere]]-Table18[[#This Row],[Ipsilateral Hemisphere]])/Table18[[#This Row],[Contralateral Hemisphere]]*100</f>
        <v>1.3222088507319535E-2</v>
      </c>
      <c r="AO46" s="15" t="str">
        <f>IF(Table18[[#This Row],[(ipsi-contra) /contra *100]]&gt;0,"Oedema","Contraction")</f>
        <v>Contraction</v>
      </c>
      <c r="AP46" s="15">
        <f>Table18[[#This Row],[Contralateral Hemisphere]]-Table18[[#This Row],[Ipsilateral Hemisphere]]</f>
        <v>1.062000000000296E-2</v>
      </c>
      <c r="AQ46" s="15">
        <f>Table18[[#This Row],[Contralateral Hemisphere]]-Table18[[#This Row],[Healthy Ipsilateral Hemisphere]]</f>
        <v>5.9647999999999968</v>
      </c>
      <c r="AR46" s="7">
        <v>6</v>
      </c>
      <c r="AS46" s="7">
        <v>6</v>
      </c>
      <c r="AT46" s="7">
        <f>Table18[[#This Row],['#sections of lesion]]-Table18[[#This Row],[cortex]]</f>
        <v>0</v>
      </c>
      <c r="AU46" s="44">
        <f>Table18[[#This Row],[Ipsilateral Hemisphere]]/Table18[[#This Row],[Contralateral Hemisphere]]</f>
        <v>0.99986777911492686</v>
      </c>
      <c r="AV46" s="44">
        <f>Table18[[#This Row],[Contralateral Hemisphere]]/Table18[[#This Row],[Ipsilateral Hemisphere]]</f>
        <v>1.0001322383697475</v>
      </c>
    </row>
    <row r="47" spans="1:48" x14ac:dyDescent="0.3">
      <c r="A47" s="22"/>
      <c r="B47" s="2" t="s">
        <v>114</v>
      </c>
      <c r="C47" s="15"/>
      <c r="D47" s="37">
        <v>13.151</v>
      </c>
      <c r="E47" s="15">
        <v>15.452999999999999</v>
      </c>
      <c r="F47" s="15">
        <v>17.055999999999997</v>
      </c>
      <c r="G47" s="15">
        <v>18.232999999999997</v>
      </c>
      <c r="H47" s="15">
        <v>18.642000000000003</v>
      </c>
      <c r="I47" s="15">
        <v>22.986000000000001</v>
      </c>
      <c r="J47" s="38">
        <v>23.561</v>
      </c>
      <c r="K47" s="15"/>
      <c r="L47" s="15"/>
      <c r="M47" s="15"/>
      <c r="N47" s="15"/>
      <c r="O47" s="15"/>
      <c r="Q47" s="22"/>
      <c r="R47" s="22"/>
      <c r="S47" s="2" t="s">
        <v>114</v>
      </c>
      <c r="T47" s="15"/>
      <c r="U47" s="15">
        <f t="shared" ref="U47:AA47" si="42">D47*D50</f>
        <v>7.6275799999999991</v>
      </c>
      <c r="V47" s="15">
        <f t="shared" si="42"/>
        <v>5.8721399999999999</v>
      </c>
      <c r="W47" s="15">
        <f t="shared" si="42"/>
        <v>9.2102399999999989</v>
      </c>
      <c r="X47" s="15">
        <f t="shared" si="42"/>
        <v>8.387179999999999</v>
      </c>
      <c r="Y47" s="15">
        <f t="shared" si="42"/>
        <v>10.066680000000002</v>
      </c>
      <c r="Z47" s="15">
        <f t="shared" si="42"/>
        <v>10.573560000000001</v>
      </c>
      <c r="AA47" s="15">
        <f t="shared" si="42"/>
        <v>12.251720000000001</v>
      </c>
      <c r="AB47" s="15"/>
      <c r="AC47" s="15"/>
      <c r="AD47" s="21">
        <f>SUM(T47:AC47)</f>
        <v>63.989100000000001</v>
      </c>
      <c r="AG47" s="20" t="s">
        <v>56</v>
      </c>
      <c r="AH47" s="3" t="s">
        <v>183</v>
      </c>
      <c r="AI47" s="33">
        <v>7.2530000000000001</v>
      </c>
      <c r="AJ47" s="21">
        <v>86.097700000000003</v>
      </c>
      <c r="AK47" s="21">
        <v>86.685679999999991</v>
      </c>
      <c r="AL47" s="21">
        <v>79.432679999999991</v>
      </c>
      <c r="AM47" s="15">
        <f>((Table18[[#This Row],[Ipsilateral Hemisphere]]-Table18[[#This Row],[Contralateral Hemisphere]])/Table18[[#This Row],[Contralateral Hemisphere]])*100</f>
        <v>0.68292184344063478</v>
      </c>
      <c r="AN47" s="15">
        <f>(Table18[[#This Row],[Contralateral Hemisphere]]-Table18[[#This Row],[Ipsilateral Hemisphere]])/Table18[[#This Row],[Contralateral Hemisphere]]*100</f>
        <v>-0.68292184344063478</v>
      </c>
      <c r="AO47" s="15" t="str">
        <f>IF(Table18[[#This Row],[(ipsi-contra) /contra *100]]&gt;0,"Oedema","Contraction")</f>
        <v>Oedema</v>
      </c>
      <c r="AP47" s="15">
        <f>Table18[[#This Row],[Contralateral Hemisphere]]-Table18[[#This Row],[Ipsilateral Hemisphere]]</f>
        <v>-0.58797999999998751</v>
      </c>
      <c r="AQ47" s="15">
        <f>Table18[[#This Row],[Contralateral Hemisphere]]-Table18[[#This Row],[Healthy Ipsilateral Hemisphere]]</f>
        <v>6.6650200000000126</v>
      </c>
      <c r="AR47" s="7">
        <v>6</v>
      </c>
      <c r="AS47" s="7">
        <v>3</v>
      </c>
      <c r="AT47" s="7">
        <f>Table18[[#This Row],['#sections of lesion]]-Table18[[#This Row],[cortex]]</f>
        <v>3</v>
      </c>
      <c r="AU47" s="44">
        <f>Table18[[#This Row],[Ipsilateral Hemisphere]]/Table18[[#This Row],[Contralateral Hemisphere]]</f>
        <v>1.0068292184344063</v>
      </c>
      <c r="AV47" s="44">
        <f>Table18[[#This Row],[Contralateral Hemisphere]]/Table18[[#This Row],[Ipsilateral Hemisphere]]</f>
        <v>0.99321710344776681</v>
      </c>
    </row>
    <row r="48" spans="1:48" x14ac:dyDescent="0.3">
      <c r="A48" s="22"/>
      <c r="C48" s="15"/>
      <c r="D48" s="37"/>
      <c r="E48" s="15"/>
      <c r="F48" s="15"/>
      <c r="G48" s="15"/>
      <c r="H48" s="15"/>
      <c r="I48" s="15"/>
      <c r="J48" s="38"/>
      <c r="K48" s="15"/>
      <c r="L48" s="15"/>
      <c r="M48" s="15"/>
      <c r="N48" s="15"/>
      <c r="O48" s="15"/>
      <c r="Q48" s="22"/>
      <c r="R48" s="22"/>
      <c r="S48" s="1" t="s">
        <v>115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33">
        <f>(AD45-AD46)/AD45*100</f>
        <v>5.9190310983027583</v>
      </c>
      <c r="AE48" s="25"/>
    </row>
    <row r="49" spans="1:31" x14ac:dyDescent="0.3">
      <c r="A49" s="22"/>
      <c r="C49" s="15"/>
      <c r="D49" s="37"/>
      <c r="E49" s="15"/>
      <c r="F49" s="15"/>
      <c r="G49" s="15"/>
      <c r="H49" s="15"/>
      <c r="I49" s="15"/>
      <c r="J49" s="38"/>
      <c r="K49" s="15"/>
      <c r="L49" s="15"/>
      <c r="M49" s="15"/>
      <c r="N49" s="15"/>
      <c r="O49" s="15"/>
      <c r="Q49" s="22"/>
      <c r="R49" s="22"/>
      <c r="S49" s="1" t="s">
        <v>103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33">
        <f>AD45-AD47</f>
        <v>16.388920000000006</v>
      </c>
      <c r="AE49" s="25"/>
    </row>
    <row r="50" spans="1:31" ht="16.2" thickBot="1" x14ac:dyDescent="0.35">
      <c r="A50" s="22"/>
      <c r="B50" s="2" t="s">
        <v>32</v>
      </c>
      <c r="C50" s="15"/>
      <c r="D50" s="40">
        <v>0.57999999999999996</v>
      </c>
      <c r="E50" s="15">
        <v>0.38</v>
      </c>
      <c r="F50" s="15">
        <v>0.54</v>
      </c>
      <c r="G50" s="15">
        <v>0.46</v>
      </c>
      <c r="H50" s="15">
        <v>0.54</v>
      </c>
      <c r="I50" s="15">
        <v>0.46</v>
      </c>
      <c r="J50" s="41">
        <v>0.52</v>
      </c>
      <c r="K50" s="15"/>
      <c r="L50" s="15"/>
      <c r="M50" s="15"/>
      <c r="N50" s="15"/>
      <c r="O50" s="15"/>
      <c r="P50" s="16"/>
      <c r="Q50" s="22"/>
      <c r="R50" s="22"/>
      <c r="S50" s="2" t="s">
        <v>97</v>
      </c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39"/>
    </row>
    <row r="51" spans="1:31" ht="15.75" customHeight="1" x14ac:dyDescent="0.3">
      <c r="A51" s="216" t="s">
        <v>127</v>
      </c>
      <c r="B51" s="13" t="s">
        <v>98</v>
      </c>
      <c r="C51" s="14"/>
      <c r="D51" s="34">
        <v>1.83</v>
      </c>
      <c r="E51" s="14">
        <v>3.4710000000000001</v>
      </c>
      <c r="F51" s="14">
        <v>3.5350000000000001</v>
      </c>
      <c r="G51" s="14">
        <v>3.59</v>
      </c>
      <c r="H51" s="14">
        <v>3.722</v>
      </c>
      <c r="I51" s="14">
        <v>4.0289999999999999</v>
      </c>
      <c r="J51" s="35">
        <v>3.649</v>
      </c>
      <c r="K51" s="14"/>
      <c r="L51" s="14"/>
      <c r="M51" s="14"/>
      <c r="N51" s="15" t="s">
        <v>109</v>
      </c>
      <c r="O51" s="16">
        <f t="shared" ref="O51" si="43">COUNTIF(A51:L51, "&gt;0" )</f>
        <v>7</v>
      </c>
      <c r="Q51" s="216" t="s">
        <v>127</v>
      </c>
      <c r="R51" s="216" t="s">
        <v>2</v>
      </c>
      <c r="S51" s="36" t="s">
        <v>98</v>
      </c>
      <c r="T51" s="18"/>
      <c r="U51" s="18">
        <f t="shared" ref="U51:AA51" si="44">D51*D58</f>
        <v>0.7320000000000001</v>
      </c>
      <c r="V51" s="18">
        <f t="shared" si="44"/>
        <v>1.7355</v>
      </c>
      <c r="W51" s="18">
        <f t="shared" si="44"/>
        <v>1.6968000000000001</v>
      </c>
      <c r="X51" s="18">
        <f t="shared" si="44"/>
        <v>1.7949999999999999</v>
      </c>
      <c r="Y51" s="18">
        <f t="shared" si="44"/>
        <v>1.861</v>
      </c>
      <c r="Z51" s="18">
        <f t="shared" si="44"/>
        <v>2.0950799999999998</v>
      </c>
      <c r="AA51" s="18">
        <f t="shared" si="44"/>
        <v>1.75152</v>
      </c>
      <c r="AB51" s="18"/>
      <c r="AC51" s="18"/>
      <c r="AD51" s="33">
        <f>SUM(T51:AC51)</f>
        <v>11.6669</v>
      </c>
      <c r="AE51" s="25"/>
    </row>
    <row r="52" spans="1:31" ht="15.75" customHeight="1" x14ac:dyDescent="0.3">
      <c r="A52" s="217"/>
      <c r="B52" s="2" t="s">
        <v>110</v>
      </c>
      <c r="C52" s="15"/>
      <c r="D52" s="37" t="s">
        <v>111</v>
      </c>
      <c r="E52" s="15" t="s">
        <v>128</v>
      </c>
      <c r="F52" s="15" t="s">
        <v>128</v>
      </c>
      <c r="G52" s="15" t="s">
        <v>112</v>
      </c>
      <c r="H52" s="15" t="s">
        <v>125</v>
      </c>
      <c r="I52" s="15" t="s">
        <v>128</v>
      </c>
      <c r="J52" s="38" t="s">
        <v>111</v>
      </c>
      <c r="K52" s="15"/>
      <c r="L52" s="15"/>
      <c r="M52" s="15"/>
      <c r="N52" s="15" t="s">
        <v>105</v>
      </c>
      <c r="O52" s="15">
        <f t="shared" ref="O52" si="45">COUNTIF(A52:L52,"Cortex")</f>
        <v>2</v>
      </c>
      <c r="Q52" s="217"/>
      <c r="R52" s="217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21"/>
    </row>
    <row r="53" spans="1:31" ht="15.75" customHeight="1" x14ac:dyDescent="0.3">
      <c r="A53" s="217"/>
      <c r="B53" s="2" t="s">
        <v>99</v>
      </c>
      <c r="C53" s="15"/>
      <c r="D53" s="37">
        <v>18.675000000000001</v>
      </c>
      <c r="E53" s="15">
        <v>20.911999999999999</v>
      </c>
      <c r="F53" s="15">
        <v>22.599</v>
      </c>
      <c r="G53" s="15">
        <v>23.606999999999999</v>
      </c>
      <c r="H53" s="15">
        <v>24.515999999999998</v>
      </c>
      <c r="I53" s="15">
        <v>26.079000000000001</v>
      </c>
      <c r="J53" s="38">
        <v>25.631</v>
      </c>
      <c r="K53" s="15"/>
      <c r="L53" s="15"/>
      <c r="M53" s="15"/>
      <c r="N53" s="15" t="s">
        <v>106</v>
      </c>
      <c r="O53" s="15">
        <f t="shared" ref="O53" si="46">O51-O52</f>
        <v>5</v>
      </c>
      <c r="Q53" s="217"/>
      <c r="R53" s="217"/>
      <c r="S53" s="2" t="s">
        <v>99</v>
      </c>
      <c r="T53" s="15"/>
      <c r="U53" s="15">
        <f t="shared" ref="U53:AA53" si="47">D53*D58</f>
        <v>7.4700000000000006</v>
      </c>
      <c r="V53" s="15">
        <f t="shared" si="47"/>
        <v>10.456</v>
      </c>
      <c r="W53" s="15">
        <f t="shared" si="47"/>
        <v>10.847519999999999</v>
      </c>
      <c r="X53" s="15">
        <f t="shared" si="47"/>
        <v>11.8035</v>
      </c>
      <c r="Y53" s="15">
        <f t="shared" si="47"/>
        <v>12.257999999999999</v>
      </c>
      <c r="Z53" s="15">
        <f t="shared" si="47"/>
        <v>13.56108</v>
      </c>
      <c r="AA53" s="15">
        <f t="shared" si="47"/>
        <v>12.30288</v>
      </c>
      <c r="AB53" s="15"/>
      <c r="AC53" s="15"/>
      <c r="AD53" s="21">
        <f>SUM(T53:AC53)</f>
        <v>78.698980000000006</v>
      </c>
    </row>
    <row r="54" spans="1:31" ht="15.75" customHeight="1" x14ac:dyDescent="0.3">
      <c r="A54" s="217"/>
      <c r="B54" s="2" t="s">
        <v>100</v>
      </c>
      <c r="C54" s="15"/>
      <c r="D54" s="37">
        <v>16.253</v>
      </c>
      <c r="E54" s="15">
        <v>19.045999999999999</v>
      </c>
      <c r="F54" s="15">
        <v>21.614000000000001</v>
      </c>
      <c r="G54" s="15">
        <v>22.675000000000001</v>
      </c>
      <c r="H54" s="15">
        <v>23.768999999999998</v>
      </c>
      <c r="I54" s="15">
        <v>24.504999999999999</v>
      </c>
      <c r="J54" s="38">
        <v>25.329000000000001</v>
      </c>
      <c r="K54" s="15"/>
      <c r="L54" s="15"/>
      <c r="M54" s="15"/>
      <c r="N54" s="15" t="s">
        <v>113</v>
      </c>
      <c r="O54" s="16">
        <f t="shared" ref="O54" si="48">COUNTIF(A51:M51, "&gt;=0" )</f>
        <v>7</v>
      </c>
      <c r="Q54" s="217"/>
      <c r="R54" s="217"/>
      <c r="S54" s="2" t="s">
        <v>100</v>
      </c>
      <c r="T54" s="15"/>
      <c r="U54" s="15">
        <f t="shared" ref="U54:AA54" si="49">D54*D58</f>
        <v>6.5012000000000008</v>
      </c>
      <c r="V54" s="15">
        <f t="shared" si="49"/>
        <v>9.5229999999999997</v>
      </c>
      <c r="W54" s="15">
        <f t="shared" si="49"/>
        <v>10.37472</v>
      </c>
      <c r="X54" s="15">
        <f t="shared" si="49"/>
        <v>11.3375</v>
      </c>
      <c r="Y54" s="15">
        <f t="shared" si="49"/>
        <v>11.884499999999999</v>
      </c>
      <c r="Z54" s="15">
        <f t="shared" si="49"/>
        <v>12.742599999999999</v>
      </c>
      <c r="AA54" s="15">
        <f t="shared" si="49"/>
        <v>12.157920000000001</v>
      </c>
      <c r="AB54" s="15"/>
      <c r="AC54" s="15"/>
      <c r="AD54" s="21">
        <f>SUM(T54:AC54)</f>
        <v>74.521439999999998</v>
      </c>
    </row>
    <row r="55" spans="1:31" x14ac:dyDescent="0.3">
      <c r="A55" s="22"/>
      <c r="B55" s="2" t="s">
        <v>114</v>
      </c>
      <c r="C55" s="15"/>
      <c r="D55" s="37">
        <v>14.423</v>
      </c>
      <c r="E55" s="15">
        <v>15.574999999999999</v>
      </c>
      <c r="F55" s="15">
        <v>18.079000000000001</v>
      </c>
      <c r="G55" s="15">
        <v>19.085000000000001</v>
      </c>
      <c r="H55" s="15">
        <v>20.046999999999997</v>
      </c>
      <c r="I55" s="15">
        <v>20.475999999999999</v>
      </c>
      <c r="J55" s="38">
        <v>21.68</v>
      </c>
      <c r="K55" s="15"/>
      <c r="L55" s="15"/>
      <c r="M55" s="15"/>
      <c r="N55" s="15"/>
      <c r="O55" s="15"/>
      <c r="Q55" s="22"/>
      <c r="R55" s="22"/>
      <c r="S55" s="2" t="s">
        <v>114</v>
      </c>
      <c r="T55" s="15"/>
      <c r="U55" s="15">
        <f t="shared" ref="U55:AA55" si="50">D55*D58</f>
        <v>5.7692000000000005</v>
      </c>
      <c r="V55" s="15">
        <f t="shared" si="50"/>
        <v>7.7874999999999996</v>
      </c>
      <c r="W55" s="15">
        <f t="shared" si="50"/>
        <v>8.6779200000000003</v>
      </c>
      <c r="X55" s="15">
        <f t="shared" si="50"/>
        <v>9.5425000000000004</v>
      </c>
      <c r="Y55" s="15">
        <f t="shared" si="50"/>
        <v>10.023499999999999</v>
      </c>
      <c r="Z55" s="15">
        <f t="shared" si="50"/>
        <v>10.64752</v>
      </c>
      <c r="AA55" s="15">
        <f t="shared" si="50"/>
        <v>10.4064</v>
      </c>
      <c r="AB55" s="15"/>
      <c r="AC55" s="15"/>
      <c r="AD55" s="21">
        <f>SUM(T55:AC55)</f>
        <v>62.854539999999993</v>
      </c>
    </row>
    <row r="56" spans="1:31" x14ac:dyDescent="0.3">
      <c r="A56" s="22"/>
      <c r="C56" s="15"/>
      <c r="D56" s="37"/>
      <c r="E56" s="15"/>
      <c r="F56" s="15"/>
      <c r="G56" s="15"/>
      <c r="H56" s="15"/>
      <c r="I56" s="15"/>
      <c r="J56" s="38"/>
      <c r="K56" s="15"/>
      <c r="L56" s="15"/>
      <c r="M56" s="15"/>
      <c r="N56" s="15"/>
      <c r="O56" s="15"/>
      <c r="Q56" s="22"/>
      <c r="R56" s="22"/>
      <c r="S56" s="1" t="s">
        <v>115</v>
      </c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33">
        <f>(AD53-AD54)/AD53*100</f>
        <v>5.3082517714969208</v>
      </c>
      <c r="AE56" s="25"/>
    </row>
    <row r="57" spans="1:31" x14ac:dyDescent="0.3">
      <c r="A57" s="22"/>
      <c r="C57" s="15"/>
      <c r="D57" s="37"/>
      <c r="E57" s="15"/>
      <c r="F57" s="15"/>
      <c r="G57" s="15"/>
      <c r="H57" s="15"/>
      <c r="I57" s="15"/>
      <c r="J57" s="38"/>
      <c r="K57" s="15"/>
      <c r="L57" s="15"/>
      <c r="M57" s="15"/>
      <c r="N57" s="15"/>
      <c r="O57" s="15"/>
      <c r="Q57" s="22"/>
      <c r="R57" s="22"/>
      <c r="S57" s="1" t="s">
        <v>103</v>
      </c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33">
        <f>AD53-AD55</f>
        <v>15.844440000000013</v>
      </c>
      <c r="AE57" s="25"/>
    </row>
    <row r="58" spans="1:31" ht="16.2" thickBot="1" x14ac:dyDescent="0.35">
      <c r="A58" s="22"/>
      <c r="B58" s="2" t="s">
        <v>32</v>
      </c>
      <c r="C58" s="15"/>
      <c r="D58" s="40">
        <v>0.4</v>
      </c>
      <c r="E58" s="15">
        <v>0.5</v>
      </c>
      <c r="F58" s="15">
        <v>0.48</v>
      </c>
      <c r="G58" s="15">
        <v>0.5</v>
      </c>
      <c r="H58" s="15">
        <v>0.5</v>
      </c>
      <c r="I58" s="15">
        <v>0.52</v>
      </c>
      <c r="J58" s="41">
        <v>0.48</v>
      </c>
      <c r="K58" s="15"/>
      <c r="L58" s="15"/>
      <c r="M58" s="15"/>
      <c r="N58" s="15"/>
      <c r="O58" s="15"/>
      <c r="P58" s="16"/>
      <c r="Q58" s="22"/>
      <c r="R58" s="22"/>
      <c r="S58" s="2" t="s">
        <v>97</v>
      </c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39"/>
    </row>
    <row r="59" spans="1:31" ht="15.75" customHeight="1" x14ac:dyDescent="0.3">
      <c r="A59" s="216" t="s">
        <v>129</v>
      </c>
      <c r="B59" s="13" t="s">
        <v>98</v>
      </c>
      <c r="C59" s="14"/>
      <c r="D59" s="14"/>
      <c r="E59" s="34">
        <v>0</v>
      </c>
      <c r="F59" s="14">
        <v>0</v>
      </c>
      <c r="G59" s="14">
        <v>1.385</v>
      </c>
      <c r="H59" s="14">
        <v>1.153</v>
      </c>
      <c r="I59" s="14">
        <v>2.9009999999999998</v>
      </c>
      <c r="J59" s="14">
        <v>3.4390000000000001</v>
      </c>
      <c r="K59" s="35">
        <v>2.1619999999999999</v>
      </c>
      <c r="L59" s="14"/>
      <c r="M59" s="14"/>
      <c r="N59" s="15" t="s">
        <v>109</v>
      </c>
      <c r="O59" s="16">
        <f t="shared" ref="O59" si="51">COUNTIF(A59:L59, "&gt;0" )</f>
        <v>5</v>
      </c>
      <c r="Q59" s="216" t="s">
        <v>129</v>
      </c>
      <c r="R59" s="216" t="s">
        <v>2</v>
      </c>
      <c r="S59" s="36" t="s">
        <v>98</v>
      </c>
      <c r="T59" s="18"/>
      <c r="U59" s="18"/>
      <c r="V59" s="18">
        <f t="shared" ref="V59:AB59" si="52">E59*E66</f>
        <v>0</v>
      </c>
      <c r="W59" s="18">
        <f t="shared" si="52"/>
        <v>0</v>
      </c>
      <c r="X59" s="18">
        <f t="shared" si="52"/>
        <v>0.60940000000000005</v>
      </c>
      <c r="Y59" s="18">
        <f t="shared" si="52"/>
        <v>0.59955999999999998</v>
      </c>
      <c r="Z59" s="18">
        <f t="shared" si="52"/>
        <v>1.3924799999999999</v>
      </c>
      <c r="AA59" s="18">
        <f t="shared" si="52"/>
        <v>1.7195</v>
      </c>
      <c r="AB59" s="18">
        <f t="shared" si="52"/>
        <v>1.081</v>
      </c>
      <c r="AC59" s="18"/>
      <c r="AD59" s="33">
        <f>SUM(T59:AC59)</f>
        <v>5.4019399999999997</v>
      </c>
      <c r="AE59" s="25"/>
    </row>
    <row r="60" spans="1:31" ht="15.75" customHeight="1" x14ac:dyDescent="0.3">
      <c r="A60" s="217"/>
      <c r="B60" s="2" t="s">
        <v>110</v>
      </c>
      <c r="C60" s="15"/>
      <c r="D60" s="15"/>
      <c r="E60" s="37"/>
      <c r="F60" s="15"/>
      <c r="G60" s="15" t="s">
        <v>111</v>
      </c>
      <c r="H60" s="15" t="s">
        <v>111</v>
      </c>
      <c r="I60" s="15" t="s">
        <v>111</v>
      </c>
      <c r="J60" s="15" t="s">
        <v>111</v>
      </c>
      <c r="K60" s="38" t="s">
        <v>112</v>
      </c>
      <c r="L60" s="15"/>
      <c r="M60" s="15"/>
      <c r="N60" s="15" t="s">
        <v>105</v>
      </c>
      <c r="O60" s="15">
        <f t="shared" ref="O60" si="53">COUNTIF(A60:L60,"Cortex")</f>
        <v>4</v>
      </c>
      <c r="Q60" s="217"/>
      <c r="R60" s="217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21"/>
    </row>
    <row r="61" spans="1:31" ht="15.75" customHeight="1" x14ac:dyDescent="0.3">
      <c r="A61" s="217"/>
      <c r="B61" s="2" t="s">
        <v>99</v>
      </c>
      <c r="C61" s="15"/>
      <c r="D61" s="15"/>
      <c r="E61" s="37">
        <v>17.634</v>
      </c>
      <c r="F61" s="15">
        <v>19.427</v>
      </c>
      <c r="G61" s="15">
        <v>21.809000000000001</v>
      </c>
      <c r="H61" s="15">
        <v>23.367000000000001</v>
      </c>
      <c r="I61" s="15">
        <v>25.119</v>
      </c>
      <c r="J61" s="15">
        <v>25.53</v>
      </c>
      <c r="K61" s="38">
        <v>25.613</v>
      </c>
      <c r="L61" s="15"/>
      <c r="M61" s="15"/>
      <c r="N61" s="15" t="s">
        <v>106</v>
      </c>
      <c r="O61" s="15">
        <f t="shared" ref="O61" si="54">O59-O60</f>
        <v>1</v>
      </c>
      <c r="Q61" s="217"/>
      <c r="R61" s="217"/>
      <c r="S61" s="2" t="s">
        <v>99</v>
      </c>
      <c r="T61" s="15"/>
      <c r="U61" s="15"/>
      <c r="V61" s="15">
        <f t="shared" ref="V61:AB61" si="55">E61*E66</f>
        <v>8.8170000000000002</v>
      </c>
      <c r="W61" s="15">
        <f t="shared" si="55"/>
        <v>10.87912</v>
      </c>
      <c r="X61" s="15">
        <f t="shared" si="55"/>
        <v>9.5959599999999998</v>
      </c>
      <c r="Y61" s="15">
        <f t="shared" si="55"/>
        <v>12.150840000000001</v>
      </c>
      <c r="Z61" s="15">
        <f t="shared" si="55"/>
        <v>12.057119999999999</v>
      </c>
      <c r="AA61" s="15">
        <f t="shared" si="55"/>
        <v>12.765000000000001</v>
      </c>
      <c r="AB61" s="15">
        <f t="shared" si="55"/>
        <v>12.8065</v>
      </c>
      <c r="AC61" s="15"/>
      <c r="AD61" s="21">
        <f>SUM(T61:AC61)</f>
        <v>79.071539999999999</v>
      </c>
    </row>
    <row r="62" spans="1:31" ht="15.75" customHeight="1" x14ac:dyDescent="0.3">
      <c r="A62" s="217"/>
      <c r="B62" s="2" t="s">
        <v>100</v>
      </c>
      <c r="C62" s="15"/>
      <c r="D62" s="15"/>
      <c r="E62" s="37">
        <v>17.010999999999999</v>
      </c>
      <c r="F62" s="15">
        <v>19.026</v>
      </c>
      <c r="G62" s="15">
        <v>20.324999999999999</v>
      </c>
      <c r="H62" s="15">
        <v>22.259999999999998</v>
      </c>
      <c r="I62" s="15">
        <v>24.068999999999999</v>
      </c>
      <c r="J62" s="15">
        <v>25.105</v>
      </c>
      <c r="K62" s="38">
        <v>26.302</v>
      </c>
      <c r="L62" s="15"/>
      <c r="M62" s="15"/>
      <c r="N62" s="15" t="s">
        <v>113</v>
      </c>
      <c r="O62" s="16">
        <f t="shared" ref="O62" si="56">COUNTIF(A59:M59, "&gt;=0" )</f>
        <v>7</v>
      </c>
      <c r="Q62" s="217"/>
      <c r="R62" s="217"/>
      <c r="S62" s="2" t="s">
        <v>100</v>
      </c>
      <c r="T62" s="15"/>
      <c r="U62" s="15"/>
      <c r="V62" s="15">
        <f t="shared" ref="V62:AB62" si="57">E62*E66</f>
        <v>8.5054999999999996</v>
      </c>
      <c r="W62" s="15">
        <f t="shared" si="57"/>
        <v>10.65456</v>
      </c>
      <c r="X62" s="15">
        <f t="shared" si="57"/>
        <v>8.9429999999999996</v>
      </c>
      <c r="Y62" s="15">
        <f t="shared" si="57"/>
        <v>11.575199999999999</v>
      </c>
      <c r="Z62" s="15">
        <f t="shared" si="57"/>
        <v>11.55312</v>
      </c>
      <c r="AA62" s="15">
        <f t="shared" si="57"/>
        <v>12.5525</v>
      </c>
      <c r="AB62" s="15">
        <f t="shared" si="57"/>
        <v>13.151</v>
      </c>
      <c r="AC62" s="15"/>
      <c r="AD62" s="21">
        <f>SUM(T62:AC62)</f>
        <v>76.934879999999993</v>
      </c>
    </row>
    <row r="63" spans="1:31" x14ac:dyDescent="0.3">
      <c r="A63" s="22"/>
      <c r="B63" s="2" t="s">
        <v>114</v>
      </c>
      <c r="C63" s="15"/>
      <c r="D63" s="15"/>
      <c r="E63" s="37">
        <v>17.010999999999999</v>
      </c>
      <c r="F63" s="15">
        <v>19.026</v>
      </c>
      <c r="G63" s="15">
        <v>18.939999999999998</v>
      </c>
      <c r="H63" s="15">
        <v>21.106999999999999</v>
      </c>
      <c r="I63" s="15">
        <v>21.167999999999999</v>
      </c>
      <c r="J63" s="15">
        <v>21.666</v>
      </c>
      <c r="K63" s="38">
        <v>24.14</v>
      </c>
      <c r="L63" s="15"/>
      <c r="M63" s="15"/>
      <c r="N63" s="15"/>
      <c r="O63" s="15"/>
      <c r="Q63" s="22"/>
      <c r="R63" s="22"/>
      <c r="S63" s="2" t="s">
        <v>114</v>
      </c>
      <c r="T63" s="15"/>
      <c r="U63" s="15"/>
      <c r="V63" s="15">
        <f t="shared" ref="V63:AB63" si="58">E63*E66</f>
        <v>8.5054999999999996</v>
      </c>
      <c r="W63" s="15">
        <f t="shared" si="58"/>
        <v>10.65456</v>
      </c>
      <c r="X63" s="15">
        <f t="shared" si="58"/>
        <v>8.3335999999999988</v>
      </c>
      <c r="Y63" s="15">
        <f t="shared" si="58"/>
        <v>10.97564</v>
      </c>
      <c r="Z63" s="15">
        <f t="shared" si="58"/>
        <v>10.160639999999999</v>
      </c>
      <c r="AA63" s="15">
        <f t="shared" si="58"/>
        <v>10.833</v>
      </c>
      <c r="AB63" s="15">
        <f t="shared" si="58"/>
        <v>12.07</v>
      </c>
      <c r="AC63" s="15"/>
      <c r="AD63" s="21">
        <f>SUM(T63:AC63)</f>
        <v>71.532939999999996</v>
      </c>
    </row>
    <row r="64" spans="1:31" x14ac:dyDescent="0.3">
      <c r="A64" s="22"/>
      <c r="C64" s="15"/>
      <c r="D64" s="15"/>
      <c r="E64" s="37"/>
      <c r="F64" s="15"/>
      <c r="G64" s="15"/>
      <c r="H64" s="15"/>
      <c r="I64" s="15"/>
      <c r="J64" s="15"/>
      <c r="K64" s="38"/>
      <c r="L64" s="15"/>
      <c r="M64" s="15"/>
      <c r="N64" s="15"/>
      <c r="O64" s="15"/>
      <c r="Q64" s="22"/>
      <c r="R64" s="22"/>
      <c r="S64" s="1" t="s">
        <v>115</v>
      </c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33">
        <f>(AD61-AD62)/AD61*100</f>
        <v>2.7021858939385854</v>
      </c>
      <c r="AE64" s="25"/>
    </row>
    <row r="65" spans="1:31" x14ac:dyDescent="0.3">
      <c r="A65" s="22"/>
      <c r="C65" s="15"/>
      <c r="D65" s="15"/>
      <c r="E65" s="37"/>
      <c r="F65" s="15"/>
      <c r="G65" s="15"/>
      <c r="H65" s="15"/>
      <c r="I65" s="15"/>
      <c r="J65" s="15"/>
      <c r="K65" s="38"/>
      <c r="L65" s="15"/>
      <c r="M65" s="15"/>
      <c r="N65" s="15"/>
      <c r="O65" s="15"/>
      <c r="Q65" s="22"/>
      <c r="R65" s="22"/>
      <c r="S65" s="1" t="s">
        <v>103</v>
      </c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33">
        <f>AD61-AD63</f>
        <v>7.5386000000000024</v>
      </c>
      <c r="AE65" s="25"/>
    </row>
    <row r="66" spans="1:31" ht="14.25" customHeight="1" thickBot="1" x14ac:dyDescent="0.35">
      <c r="A66" s="22"/>
      <c r="B66" s="2" t="s">
        <v>32</v>
      </c>
      <c r="C66" s="15"/>
      <c r="D66" s="15"/>
      <c r="E66" s="40">
        <v>0.5</v>
      </c>
      <c r="F66" s="15">
        <v>0.56000000000000005</v>
      </c>
      <c r="G66" s="15">
        <v>0.44</v>
      </c>
      <c r="H66" s="15">
        <v>0.52</v>
      </c>
      <c r="I66" s="15">
        <v>0.48</v>
      </c>
      <c r="J66" s="15">
        <v>0.5</v>
      </c>
      <c r="K66" s="41">
        <v>0.5</v>
      </c>
      <c r="L66" s="15"/>
      <c r="M66" s="15"/>
      <c r="N66" s="15"/>
      <c r="O66" s="15"/>
      <c r="P66" s="16"/>
      <c r="Q66" s="22"/>
      <c r="R66" s="22"/>
      <c r="S66" s="2" t="s">
        <v>97</v>
      </c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39"/>
    </row>
    <row r="67" spans="1:31" ht="15.75" customHeight="1" x14ac:dyDescent="0.3">
      <c r="A67" s="216" t="s">
        <v>130</v>
      </c>
      <c r="B67" s="13" t="s">
        <v>98</v>
      </c>
      <c r="C67" s="14"/>
      <c r="D67" s="34">
        <v>0.84499999999999997</v>
      </c>
      <c r="E67" s="14">
        <v>1.595</v>
      </c>
      <c r="F67" s="14">
        <v>2.601</v>
      </c>
      <c r="G67" s="14">
        <v>3.5009999999999999</v>
      </c>
      <c r="H67" s="14">
        <v>3.9610000000000003</v>
      </c>
      <c r="I67" s="14">
        <v>2.9350000000000001</v>
      </c>
      <c r="J67" s="35">
        <v>1.458</v>
      </c>
      <c r="K67" s="14"/>
      <c r="L67" s="14"/>
      <c r="M67" s="14"/>
      <c r="N67" s="15" t="s">
        <v>109</v>
      </c>
      <c r="O67" s="16">
        <f t="shared" ref="O67" si="59">COUNTIF(A67:L67, "&gt;0" )</f>
        <v>7</v>
      </c>
      <c r="Q67" s="216" t="s">
        <v>130</v>
      </c>
      <c r="R67" s="216" t="s">
        <v>2</v>
      </c>
      <c r="S67" s="36" t="s">
        <v>98</v>
      </c>
      <c r="T67" s="18"/>
      <c r="U67" s="18">
        <f t="shared" ref="U67:AA67" si="60">D67*D74</f>
        <v>0.42249999999999999</v>
      </c>
      <c r="V67" s="18">
        <f t="shared" si="60"/>
        <v>0.79749999999999999</v>
      </c>
      <c r="W67" s="18">
        <f t="shared" si="60"/>
        <v>1.3005</v>
      </c>
      <c r="X67" s="18">
        <f t="shared" si="60"/>
        <v>1.7504999999999999</v>
      </c>
      <c r="Y67" s="18">
        <f t="shared" si="60"/>
        <v>1.9805000000000001</v>
      </c>
      <c r="Z67" s="18">
        <f t="shared" si="60"/>
        <v>1.4675</v>
      </c>
      <c r="AA67" s="18">
        <f t="shared" si="60"/>
        <v>0.72899999999999998</v>
      </c>
      <c r="AB67" s="18"/>
      <c r="AC67" s="18"/>
      <c r="AD67" s="33">
        <f>SUM(T67:AC67)</f>
        <v>8.4480000000000004</v>
      </c>
      <c r="AE67" s="25"/>
    </row>
    <row r="68" spans="1:31" ht="15.75" customHeight="1" x14ac:dyDescent="0.3">
      <c r="A68" s="217"/>
      <c r="B68" s="2" t="s">
        <v>110</v>
      </c>
      <c r="C68" s="15"/>
      <c r="D68" s="37" t="s">
        <v>111</v>
      </c>
      <c r="E68" s="15" t="s">
        <v>111</v>
      </c>
      <c r="F68" s="15" t="s">
        <v>112</v>
      </c>
      <c r="G68" s="15" t="s">
        <v>131</v>
      </c>
      <c r="H68" s="15" t="s">
        <v>131</v>
      </c>
      <c r="I68" s="15" t="s">
        <v>112</v>
      </c>
      <c r="J68" s="38" t="s">
        <v>112</v>
      </c>
      <c r="K68" s="15"/>
      <c r="L68" s="15"/>
      <c r="M68" s="15"/>
      <c r="N68" s="15" t="s">
        <v>105</v>
      </c>
      <c r="O68" s="15">
        <f t="shared" ref="O68" si="61">COUNTIF(A68:L68,"Cortex")</f>
        <v>2</v>
      </c>
      <c r="Q68" s="217"/>
      <c r="R68" s="217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21"/>
    </row>
    <row r="69" spans="1:31" ht="15.75" customHeight="1" x14ac:dyDescent="0.3">
      <c r="A69" s="217"/>
      <c r="B69" s="2" t="s">
        <v>99</v>
      </c>
      <c r="C69" s="15"/>
      <c r="D69" s="37">
        <v>14.885999999999999</v>
      </c>
      <c r="E69" s="15">
        <v>19.402000000000001</v>
      </c>
      <c r="F69" s="15">
        <v>21.087</v>
      </c>
      <c r="G69" s="15">
        <v>23.314</v>
      </c>
      <c r="H69" s="15">
        <v>25.114000000000001</v>
      </c>
      <c r="I69" s="15">
        <v>26.004000000000001</v>
      </c>
      <c r="J69" s="38">
        <v>25.637</v>
      </c>
      <c r="K69" s="15"/>
      <c r="L69" s="15"/>
      <c r="M69" s="15"/>
      <c r="N69" s="15" t="s">
        <v>106</v>
      </c>
      <c r="O69" s="15">
        <f t="shared" ref="O69" si="62">O67-O68</f>
        <v>5</v>
      </c>
      <c r="Q69" s="217"/>
      <c r="R69" s="217"/>
      <c r="S69" s="2" t="s">
        <v>99</v>
      </c>
      <c r="T69" s="15"/>
      <c r="U69" s="15">
        <f t="shared" ref="U69:AA69" si="63">D69*D74</f>
        <v>7.4429999999999996</v>
      </c>
      <c r="V69" s="15">
        <f t="shared" si="63"/>
        <v>9.7010000000000005</v>
      </c>
      <c r="W69" s="15">
        <f t="shared" si="63"/>
        <v>10.5435</v>
      </c>
      <c r="X69" s="15">
        <f t="shared" si="63"/>
        <v>11.657</v>
      </c>
      <c r="Y69" s="15">
        <f t="shared" si="63"/>
        <v>12.557</v>
      </c>
      <c r="Z69" s="15">
        <f t="shared" si="63"/>
        <v>13.002000000000001</v>
      </c>
      <c r="AA69" s="15">
        <f t="shared" si="63"/>
        <v>12.8185</v>
      </c>
      <c r="AB69" s="15"/>
      <c r="AC69" s="15"/>
      <c r="AD69" s="21">
        <f>SUM(T69:AC69)</f>
        <v>77.721999999999994</v>
      </c>
    </row>
    <row r="70" spans="1:31" ht="15.75" customHeight="1" x14ac:dyDescent="0.3">
      <c r="A70" s="217"/>
      <c r="B70" s="2" t="s">
        <v>100</v>
      </c>
      <c r="C70" s="15"/>
      <c r="D70" s="37">
        <v>14.442</v>
      </c>
      <c r="E70" s="15">
        <v>18.603000000000002</v>
      </c>
      <c r="F70" s="15">
        <v>20.286000000000001</v>
      </c>
      <c r="G70" s="15">
        <v>23.152999999999999</v>
      </c>
      <c r="H70" s="15">
        <v>24.097000000000001</v>
      </c>
      <c r="I70" s="15">
        <v>25.114999999999998</v>
      </c>
      <c r="J70" s="38">
        <v>26.021000000000001</v>
      </c>
      <c r="K70" s="15"/>
      <c r="L70" s="15"/>
      <c r="M70" s="15"/>
      <c r="N70" s="15" t="s">
        <v>113</v>
      </c>
      <c r="O70" s="16">
        <f t="shared" ref="O70" si="64">COUNTIF(A67:M67, "&gt;=0" )</f>
        <v>7</v>
      </c>
      <c r="Q70" s="217"/>
      <c r="R70" s="217"/>
      <c r="S70" s="2" t="s">
        <v>100</v>
      </c>
      <c r="T70" s="15"/>
      <c r="U70" s="15">
        <f t="shared" ref="U70:AA70" si="65">D70*D74</f>
        <v>7.2210000000000001</v>
      </c>
      <c r="V70" s="15">
        <f t="shared" si="65"/>
        <v>9.3015000000000008</v>
      </c>
      <c r="W70" s="15">
        <f t="shared" si="65"/>
        <v>10.143000000000001</v>
      </c>
      <c r="X70" s="15">
        <f t="shared" si="65"/>
        <v>11.576499999999999</v>
      </c>
      <c r="Y70" s="15">
        <f t="shared" si="65"/>
        <v>12.048500000000001</v>
      </c>
      <c r="Z70" s="15">
        <f t="shared" si="65"/>
        <v>12.557499999999999</v>
      </c>
      <c r="AA70" s="15">
        <f t="shared" si="65"/>
        <v>13.0105</v>
      </c>
      <c r="AB70" s="15"/>
      <c r="AC70" s="15"/>
      <c r="AD70" s="21">
        <f>SUM(T70:AC70)</f>
        <v>75.858500000000006</v>
      </c>
    </row>
    <row r="71" spans="1:31" x14ac:dyDescent="0.3">
      <c r="A71" s="217"/>
      <c r="B71" s="2" t="s">
        <v>114</v>
      </c>
      <c r="C71" s="15"/>
      <c r="D71" s="37">
        <v>13.597</v>
      </c>
      <c r="E71" s="15">
        <v>17.008000000000003</v>
      </c>
      <c r="F71" s="15">
        <v>17.685000000000002</v>
      </c>
      <c r="G71" s="15">
        <v>19.651999999999997</v>
      </c>
      <c r="H71" s="15">
        <v>20.136000000000003</v>
      </c>
      <c r="I71" s="15">
        <v>22.18</v>
      </c>
      <c r="J71" s="38">
        <v>24.563000000000002</v>
      </c>
      <c r="K71" s="15"/>
      <c r="L71" s="15"/>
      <c r="M71" s="15"/>
      <c r="N71" s="15"/>
      <c r="O71" s="15"/>
      <c r="Q71" s="217"/>
      <c r="R71" s="217"/>
      <c r="S71" s="2" t="s">
        <v>114</v>
      </c>
      <c r="T71" s="15"/>
      <c r="U71" s="15">
        <f t="shared" ref="U71:AA71" si="66">D71*D74</f>
        <v>6.7984999999999998</v>
      </c>
      <c r="V71" s="15">
        <f t="shared" si="66"/>
        <v>8.5040000000000013</v>
      </c>
      <c r="W71" s="15">
        <f t="shared" si="66"/>
        <v>8.8425000000000011</v>
      </c>
      <c r="X71" s="15">
        <f t="shared" si="66"/>
        <v>9.8259999999999987</v>
      </c>
      <c r="Y71" s="15">
        <f t="shared" si="66"/>
        <v>10.068000000000001</v>
      </c>
      <c r="Z71" s="15">
        <f t="shared" si="66"/>
        <v>11.09</v>
      </c>
      <c r="AA71" s="15">
        <f t="shared" si="66"/>
        <v>12.281500000000001</v>
      </c>
      <c r="AB71" s="15"/>
      <c r="AC71" s="15"/>
      <c r="AD71" s="21">
        <f>SUM(T71:AC71)</f>
        <v>67.410500000000013</v>
      </c>
    </row>
    <row r="72" spans="1:31" x14ac:dyDescent="0.3">
      <c r="A72" s="217"/>
      <c r="C72" s="15"/>
      <c r="D72" s="37"/>
      <c r="E72" s="15"/>
      <c r="F72" s="15"/>
      <c r="G72" s="15"/>
      <c r="H72" s="15"/>
      <c r="I72" s="15"/>
      <c r="J72" s="38"/>
      <c r="K72" s="15"/>
      <c r="L72" s="15"/>
      <c r="M72" s="15"/>
      <c r="N72" s="15"/>
      <c r="O72" s="15"/>
      <c r="Q72" s="217"/>
      <c r="R72" s="217"/>
      <c r="S72" s="1" t="s">
        <v>115</v>
      </c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33">
        <f>(AD69-AD70)/AD69*100</f>
        <v>2.3976480275854812</v>
      </c>
      <c r="AE72" s="25"/>
    </row>
    <row r="73" spans="1:31" x14ac:dyDescent="0.3">
      <c r="A73" s="217"/>
      <c r="C73" s="15"/>
      <c r="D73" s="37"/>
      <c r="E73" s="15"/>
      <c r="F73" s="15"/>
      <c r="G73" s="15"/>
      <c r="H73" s="15"/>
      <c r="I73" s="15"/>
      <c r="J73" s="38"/>
      <c r="K73" s="15"/>
      <c r="L73" s="15"/>
      <c r="M73" s="15"/>
      <c r="N73" s="15"/>
      <c r="O73" s="15"/>
      <c r="Q73" s="217"/>
      <c r="R73" s="217"/>
      <c r="S73" s="1" t="s">
        <v>103</v>
      </c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33">
        <f>AD69-AD71</f>
        <v>10.311499999999981</v>
      </c>
      <c r="AE73" s="25"/>
    </row>
    <row r="74" spans="1:31" ht="15.75" customHeight="1" thickBot="1" x14ac:dyDescent="0.35">
      <c r="A74" s="217"/>
      <c r="B74" s="2" t="s">
        <v>32</v>
      </c>
      <c r="C74" s="15"/>
      <c r="D74" s="37">
        <v>0.5</v>
      </c>
      <c r="E74" s="15">
        <v>0.5</v>
      </c>
      <c r="F74" s="15">
        <v>0.5</v>
      </c>
      <c r="G74" s="15">
        <v>0.5</v>
      </c>
      <c r="H74" s="15">
        <v>0.5</v>
      </c>
      <c r="I74" s="15">
        <v>0.5</v>
      </c>
      <c r="J74" s="38">
        <v>0.5</v>
      </c>
      <c r="K74" s="15"/>
      <c r="L74" s="15"/>
      <c r="M74" s="15"/>
      <c r="N74" s="15"/>
      <c r="O74" s="15"/>
      <c r="Q74" s="217"/>
      <c r="R74" s="217"/>
      <c r="S74" s="2" t="s">
        <v>97</v>
      </c>
      <c r="T74" s="221" t="s">
        <v>119</v>
      </c>
      <c r="U74" s="221"/>
      <c r="V74" s="221"/>
      <c r="W74" s="221"/>
      <c r="X74" s="221"/>
      <c r="Y74" s="221"/>
      <c r="Z74" s="221"/>
      <c r="AA74" s="221"/>
      <c r="AB74" s="221"/>
      <c r="AC74" s="221"/>
      <c r="AD74" s="39"/>
    </row>
    <row r="75" spans="1:31" ht="15.75" customHeight="1" x14ac:dyDescent="0.3">
      <c r="A75" s="216" t="s">
        <v>132</v>
      </c>
      <c r="B75" s="13" t="s">
        <v>98</v>
      </c>
      <c r="C75" s="14"/>
      <c r="D75" s="34">
        <v>3.649</v>
      </c>
      <c r="E75" s="14">
        <v>3.431</v>
      </c>
      <c r="F75" s="14">
        <v>3.5219999999999998</v>
      </c>
      <c r="G75" s="14">
        <v>3.6179999999999999</v>
      </c>
      <c r="H75" s="14">
        <v>2.74</v>
      </c>
      <c r="I75" s="14">
        <v>2.4929999999999999</v>
      </c>
      <c r="J75" s="42">
        <v>0.65999999999999992</v>
      </c>
      <c r="K75" s="14"/>
      <c r="L75" s="14"/>
      <c r="M75" s="14"/>
      <c r="N75" s="15" t="s">
        <v>109</v>
      </c>
      <c r="O75" s="16">
        <f t="shared" ref="O75" si="67">COUNTIF(A75:L75, "&gt;0" )</f>
        <v>7</v>
      </c>
      <c r="Q75" s="216" t="s">
        <v>132</v>
      </c>
      <c r="R75" s="216" t="s">
        <v>2</v>
      </c>
      <c r="S75" s="36" t="s">
        <v>98</v>
      </c>
      <c r="T75" s="18"/>
      <c r="U75" s="18">
        <f t="shared" ref="U75:AA75" si="68">D75*D82</f>
        <v>1.2406599999999999</v>
      </c>
      <c r="V75" s="18">
        <f t="shared" si="68"/>
        <v>1.7155</v>
      </c>
      <c r="W75" s="18">
        <f t="shared" si="68"/>
        <v>1.83144</v>
      </c>
      <c r="X75" s="18">
        <f t="shared" si="68"/>
        <v>1.66428</v>
      </c>
      <c r="Y75" s="18">
        <f t="shared" si="68"/>
        <v>1.4796000000000002</v>
      </c>
      <c r="Z75" s="18">
        <f t="shared" si="68"/>
        <v>1.2464999999999999</v>
      </c>
      <c r="AA75" s="18">
        <f t="shared" si="68"/>
        <v>0.30359999999999998</v>
      </c>
      <c r="AB75" s="18"/>
      <c r="AC75" s="18"/>
      <c r="AD75" s="33">
        <f>SUM(T75:AC75)</f>
        <v>9.4815799999999992</v>
      </c>
      <c r="AE75" s="25"/>
    </row>
    <row r="76" spans="1:31" ht="15.75" customHeight="1" x14ac:dyDescent="0.3">
      <c r="A76" s="217"/>
      <c r="B76" s="2" t="s">
        <v>110</v>
      </c>
      <c r="C76" s="15"/>
      <c r="D76" s="37" t="s">
        <v>112</v>
      </c>
      <c r="E76" s="15" t="s">
        <v>112</v>
      </c>
      <c r="F76" s="15" t="s">
        <v>112</v>
      </c>
      <c r="G76" s="15" t="s">
        <v>112</v>
      </c>
      <c r="H76" s="15" t="s">
        <v>112</v>
      </c>
      <c r="I76" s="15" t="s">
        <v>112</v>
      </c>
      <c r="J76" s="38" t="s">
        <v>111</v>
      </c>
      <c r="K76" s="15"/>
      <c r="L76" s="15"/>
      <c r="M76" s="15"/>
      <c r="N76" s="15" t="s">
        <v>105</v>
      </c>
      <c r="O76" s="15">
        <f t="shared" ref="O76" si="69">COUNTIF(A76:L76,"Cortex")</f>
        <v>1</v>
      </c>
      <c r="Q76" s="217"/>
      <c r="R76" s="217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21"/>
    </row>
    <row r="77" spans="1:31" ht="15.75" customHeight="1" x14ac:dyDescent="0.3">
      <c r="A77" s="217"/>
      <c r="B77" s="2" t="s">
        <v>99</v>
      </c>
      <c r="C77" s="15"/>
      <c r="D77" s="37">
        <v>18.509</v>
      </c>
      <c r="E77" s="15">
        <v>21.059000000000001</v>
      </c>
      <c r="F77" s="15">
        <v>22.513999999999999</v>
      </c>
      <c r="G77" s="15">
        <v>24.614999999999998</v>
      </c>
      <c r="H77" s="15">
        <v>26.016999999999999</v>
      </c>
      <c r="I77" s="15">
        <v>26.789000000000001</v>
      </c>
      <c r="J77" s="38">
        <v>27.137</v>
      </c>
      <c r="K77" s="15"/>
      <c r="L77" s="15"/>
      <c r="M77" s="15"/>
      <c r="N77" s="15" t="s">
        <v>106</v>
      </c>
      <c r="O77" s="15">
        <f t="shared" ref="O77" si="70">O75-O76</f>
        <v>6</v>
      </c>
      <c r="Q77" s="217"/>
      <c r="R77" s="217"/>
      <c r="S77" s="2" t="s">
        <v>99</v>
      </c>
      <c r="T77" s="15"/>
      <c r="U77" s="15">
        <f t="shared" ref="U77:AA77" si="71">D77*D82</f>
        <v>6.2930599999999997</v>
      </c>
      <c r="V77" s="15">
        <f t="shared" si="71"/>
        <v>10.529500000000001</v>
      </c>
      <c r="W77" s="15">
        <f t="shared" si="71"/>
        <v>11.707280000000001</v>
      </c>
      <c r="X77" s="15">
        <f t="shared" si="71"/>
        <v>11.322900000000001</v>
      </c>
      <c r="Y77" s="15">
        <f t="shared" si="71"/>
        <v>14.04918</v>
      </c>
      <c r="Z77" s="15">
        <f t="shared" si="71"/>
        <v>13.394500000000001</v>
      </c>
      <c r="AA77" s="15">
        <f t="shared" si="71"/>
        <v>12.483020000000002</v>
      </c>
      <c r="AB77" s="15"/>
      <c r="AC77" s="15"/>
      <c r="AD77" s="21">
        <f>SUM(T77:AC77)</f>
        <v>79.779439999999994</v>
      </c>
    </row>
    <row r="78" spans="1:31" ht="15.75" customHeight="1" x14ac:dyDescent="0.3">
      <c r="A78" s="217"/>
      <c r="B78" s="2" t="s">
        <v>100</v>
      </c>
      <c r="C78" s="15"/>
      <c r="D78" s="37">
        <v>18.734000000000002</v>
      </c>
      <c r="E78" s="15">
        <v>20.905000000000001</v>
      </c>
      <c r="F78" s="15">
        <v>21.992999999999999</v>
      </c>
      <c r="G78" s="15">
        <v>23.364999999999998</v>
      </c>
      <c r="H78" s="15">
        <v>24.678999999999998</v>
      </c>
      <c r="I78" s="15">
        <v>25.591999999999999</v>
      </c>
      <c r="J78" s="38">
        <v>26.466999999999999</v>
      </c>
      <c r="K78" s="15"/>
      <c r="L78" s="15"/>
      <c r="M78" s="15"/>
      <c r="N78" s="15" t="s">
        <v>113</v>
      </c>
      <c r="O78" s="16">
        <f t="shared" ref="O78" si="72">COUNTIF(A75:M75, "&gt;=0" )</f>
        <v>7</v>
      </c>
      <c r="Q78" s="217"/>
      <c r="R78" s="217"/>
      <c r="S78" s="2" t="s">
        <v>100</v>
      </c>
      <c r="T78" s="15"/>
      <c r="U78" s="15">
        <f t="shared" ref="U78:AA78" si="73">D78*D82</f>
        <v>6.3695599999999999</v>
      </c>
      <c r="V78" s="15">
        <f t="shared" si="73"/>
        <v>10.452500000000001</v>
      </c>
      <c r="W78" s="15">
        <f t="shared" si="73"/>
        <v>11.436359999999999</v>
      </c>
      <c r="X78" s="15">
        <f t="shared" si="73"/>
        <v>10.7479</v>
      </c>
      <c r="Y78" s="15">
        <f t="shared" si="73"/>
        <v>13.32666</v>
      </c>
      <c r="Z78" s="15">
        <f t="shared" si="73"/>
        <v>12.795999999999999</v>
      </c>
      <c r="AA78" s="15">
        <f t="shared" si="73"/>
        <v>12.17482</v>
      </c>
      <c r="AB78" s="15"/>
      <c r="AC78" s="15"/>
      <c r="AD78" s="21">
        <f>SUM(T78:AC78)</f>
        <v>77.30380000000001</v>
      </c>
    </row>
    <row r="79" spans="1:31" x14ac:dyDescent="0.3">
      <c r="A79" s="22"/>
      <c r="B79" s="2" t="s">
        <v>114</v>
      </c>
      <c r="C79" s="15"/>
      <c r="D79" s="37">
        <v>15.085000000000001</v>
      </c>
      <c r="E79" s="15">
        <v>17.474</v>
      </c>
      <c r="F79" s="15">
        <v>18.471</v>
      </c>
      <c r="G79" s="15">
        <v>19.747</v>
      </c>
      <c r="H79" s="15">
        <v>21.939</v>
      </c>
      <c r="I79" s="15">
        <v>23.099</v>
      </c>
      <c r="J79" s="38">
        <v>25.806999999999999</v>
      </c>
      <c r="K79" s="15"/>
      <c r="L79" s="15"/>
      <c r="M79" s="15"/>
      <c r="N79" s="15"/>
      <c r="O79" s="15"/>
      <c r="Q79" s="22"/>
      <c r="R79" s="22"/>
      <c r="S79" s="2" t="s">
        <v>114</v>
      </c>
      <c r="T79" s="15"/>
      <c r="U79" s="15">
        <f t="shared" ref="U79:AA79" si="74">D79*D82</f>
        <v>5.1288999999999998</v>
      </c>
      <c r="V79" s="15">
        <f t="shared" si="74"/>
        <v>8.7370000000000001</v>
      </c>
      <c r="W79" s="15">
        <f t="shared" si="74"/>
        <v>9.6049199999999999</v>
      </c>
      <c r="X79" s="15">
        <f t="shared" si="74"/>
        <v>9.0836199999999998</v>
      </c>
      <c r="Y79" s="15">
        <f t="shared" si="74"/>
        <v>11.847060000000001</v>
      </c>
      <c r="Z79" s="15">
        <f t="shared" si="74"/>
        <v>11.5495</v>
      </c>
      <c r="AA79" s="15">
        <f t="shared" si="74"/>
        <v>11.871219999999999</v>
      </c>
      <c r="AB79" s="15"/>
      <c r="AC79" s="15"/>
      <c r="AD79" s="21">
        <f>SUM(T79:AC79)</f>
        <v>67.822220000000002</v>
      </c>
    </row>
    <row r="80" spans="1:31" x14ac:dyDescent="0.3">
      <c r="A80" s="22"/>
      <c r="C80" s="15"/>
      <c r="D80" s="37"/>
      <c r="E80" s="15"/>
      <c r="F80" s="15"/>
      <c r="G80" s="15"/>
      <c r="H80" s="15"/>
      <c r="I80" s="15"/>
      <c r="J80" s="38"/>
      <c r="K80" s="15"/>
      <c r="L80" s="15"/>
      <c r="M80" s="15"/>
      <c r="N80" s="15"/>
      <c r="O80" s="15"/>
      <c r="Q80" s="22"/>
      <c r="R80" s="22"/>
      <c r="S80" s="1" t="s">
        <v>115</v>
      </c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33">
        <f>(AD77-AD78)/AD77*100</f>
        <v>3.1031052612051231</v>
      </c>
      <c r="AE80" s="25"/>
    </row>
    <row r="81" spans="1:31" x14ac:dyDescent="0.3">
      <c r="A81" s="22"/>
      <c r="C81" s="15"/>
      <c r="D81" s="37"/>
      <c r="E81" s="15"/>
      <c r="F81" s="15"/>
      <c r="G81" s="15"/>
      <c r="H81" s="15"/>
      <c r="I81" s="15"/>
      <c r="J81" s="38"/>
      <c r="K81" s="15"/>
      <c r="L81" s="15"/>
      <c r="M81" s="15"/>
      <c r="N81" s="15"/>
      <c r="O81" s="15"/>
      <c r="Q81" s="22"/>
      <c r="R81" s="22"/>
      <c r="S81" s="1" t="s">
        <v>103</v>
      </c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33">
        <f>AD77-AD79</f>
        <v>11.957219999999992</v>
      </c>
      <c r="AE81" s="25"/>
    </row>
    <row r="82" spans="1:31" ht="15.75" customHeight="1" thickBot="1" x14ac:dyDescent="0.35">
      <c r="A82" s="22"/>
      <c r="B82" s="2" t="s">
        <v>32</v>
      </c>
      <c r="C82" s="15"/>
      <c r="D82" s="40">
        <v>0.33999999999999997</v>
      </c>
      <c r="E82" s="15">
        <v>0.5</v>
      </c>
      <c r="F82" s="15">
        <v>0.52</v>
      </c>
      <c r="G82" s="15">
        <v>0.46</v>
      </c>
      <c r="H82" s="15">
        <v>0.54</v>
      </c>
      <c r="I82" s="15">
        <v>0.5</v>
      </c>
      <c r="J82" s="41">
        <v>0.46</v>
      </c>
      <c r="K82" s="15"/>
      <c r="L82" s="15"/>
      <c r="M82" s="15"/>
      <c r="N82" s="15"/>
      <c r="O82" s="15"/>
      <c r="Q82" s="22"/>
      <c r="R82" s="22"/>
      <c r="S82" s="2" t="s">
        <v>97</v>
      </c>
      <c r="T82" s="219"/>
      <c r="U82" s="219"/>
      <c r="V82" s="219"/>
      <c r="W82" s="219"/>
      <c r="X82" s="219"/>
      <c r="Y82" s="219"/>
      <c r="Z82" s="219"/>
      <c r="AA82" s="219"/>
      <c r="AB82" s="219"/>
      <c r="AC82" s="219"/>
      <c r="AD82" s="39"/>
    </row>
    <row r="83" spans="1:31" ht="15.75" customHeight="1" x14ac:dyDescent="0.3">
      <c r="A83" s="216" t="s">
        <v>133</v>
      </c>
      <c r="B83" s="13" t="s">
        <v>98</v>
      </c>
      <c r="C83" s="14"/>
      <c r="D83" s="14"/>
      <c r="E83" s="14"/>
      <c r="F83" s="34">
        <v>3.742</v>
      </c>
      <c r="G83" s="14">
        <v>3.63</v>
      </c>
      <c r="H83" s="14">
        <v>3.79</v>
      </c>
      <c r="I83" s="14">
        <v>4.2830000000000004</v>
      </c>
      <c r="J83" s="14">
        <v>4.7169999999999996</v>
      </c>
      <c r="K83" s="14">
        <v>3.964</v>
      </c>
      <c r="L83" s="35">
        <v>3.1280000000000001</v>
      </c>
      <c r="M83" s="14"/>
      <c r="N83" s="15" t="s">
        <v>109</v>
      </c>
      <c r="O83" s="16">
        <f t="shared" ref="O83" si="75">COUNTIF(A83:L83, "&gt;0" )</f>
        <v>7</v>
      </c>
      <c r="Q83" s="216" t="s">
        <v>133</v>
      </c>
      <c r="R83" s="216" t="s">
        <v>2</v>
      </c>
      <c r="S83" s="36" t="s">
        <v>98</v>
      </c>
      <c r="T83" s="18"/>
      <c r="U83" s="18"/>
      <c r="V83" s="18"/>
      <c r="W83" s="18">
        <f t="shared" ref="W83:AC83" si="76">F83*F90</f>
        <v>1.871</v>
      </c>
      <c r="X83" s="18">
        <f t="shared" si="76"/>
        <v>1.8149999999999999</v>
      </c>
      <c r="Y83" s="18">
        <f t="shared" si="76"/>
        <v>1.895</v>
      </c>
      <c r="Z83" s="18">
        <f t="shared" si="76"/>
        <v>2.1415000000000002</v>
      </c>
      <c r="AA83" s="18">
        <f t="shared" si="76"/>
        <v>2.3584999999999998</v>
      </c>
      <c r="AB83" s="18">
        <f t="shared" si="76"/>
        <v>1.982</v>
      </c>
      <c r="AC83" s="18">
        <f t="shared" si="76"/>
        <v>1.5640000000000001</v>
      </c>
      <c r="AD83" s="33">
        <f>SUM(T83:AC83)</f>
        <v>13.626999999999999</v>
      </c>
      <c r="AE83" s="25"/>
    </row>
    <row r="84" spans="1:31" ht="15.75" customHeight="1" x14ac:dyDescent="0.3">
      <c r="A84" s="217"/>
      <c r="B84" s="2" t="s">
        <v>110</v>
      </c>
      <c r="C84" s="15"/>
      <c r="D84" s="15"/>
      <c r="E84" s="15"/>
      <c r="F84" s="37" t="s">
        <v>112</v>
      </c>
      <c r="G84" s="15" t="s">
        <v>112</v>
      </c>
      <c r="H84" s="15" t="s">
        <v>112</v>
      </c>
      <c r="I84" s="15" t="s">
        <v>112</v>
      </c>
      <c r="J84" s="15" t="s">
        <v>112</v>
      </c>
      <c r="K84" s="15" t="s">
        <v>112</v>
      </c>
      <c r="L84" s="38" t="s">
        <v>112</v>
      </c>
      <c r="M84" s="15"/>
      <c r="N84" s="15" t="s">
        <v>105</v>
      </c>
      <c r="O84" s="15">
        <f t="shared" ref="O84" si="77">COUNTIF(A84:L84,"Cortex")</f>
        <v>0</v>
      </c>
      <c r="Q84" s="217"/>
      <c r="R84" s="217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21"/>
    </row>
    <row r="85" spans="1:31" ht="15.75" customHeight="1" x14ac:dyDescent="0.3">
      <c r="A85" s="217"/>
      <c r="B85" s="2" t="s">
        <v>99</v>
      </c>
      <c r="C85" s="15"/>
      <c r="D85" s="15"/>
      <c r="E85" s="15"/>
      <c r="F85" s="37">
        <v>16.437999999999999</v>
      </c>
      <c r="G85" s="15">
        <v>18.391999999999999</v>
      </c>
      <c r="H85" s="15">
        <v>19.901</v>
      </c>
      <c r="I85" s="15">
        <v>22.173999999999999</v>
      </c>
      <c r="J85" s="15">
        <v>23.598000000000003</v>
      </c>
      <c r="K85" s="15">
        <v>25.231999999999999</v>
      </c>
      <c r="L85" s="38">
        <v>25.663</v>
      </c>
      <c r="M85" s="15"/>
      <c r="N85" s="15" t="s">
        <v>106</v>
      </c>
      <c r="O85" s="15">
        <f t="shared" ref="O85" si="78">O83-O84</f>
        <v>7</v>
      </c>
      <c r="Q85" s="217"/>
      <c r="R85" s="217"/>
      <c r="S85" s="2" t="s">
        <v>99</v>
      </c>
      <c r="T85" s="15"/>
      <c r="U85" s="15"/>
      <c r="V85" s="15"/>
      <c r="W85" s="15">
        <f t="shared" ref="W85:AC85" si="79">F85*F90</f>
        <v>8.2189999999999994</v>
      </c>
      <c r="X85" s="15">
        <f t="shared" si="79"/>
        <v>9.1959999999999997</v>
      </c>
      <c r="Y85" s="15">
        <f t="shared" si="79"/>
        <v>9.9504999999999999</v>
      </c>
      <c r="Z85" s="15">
        <f t="shared" si="79"/>
        <v>11.087</v>
      </c>
      <c r="AA85" s="15">
        <f t="shared" si="79"/>
        <v>11.799000000000001</v>
      </c>
      <c r="AB85" s="15">
        <f t="shared" si="79"/>
        <v>12.616</v>
      </c>
      <c r="AC85" s="15">
        <f t="shared" si="79"/>
        <v>12.8315</v>
      </c>
      <c r="AD85" s="21">
        <f>SUM(T85:AC85)</f>
        <v>75.698999999999998</v>
      </c>
    </row>
    <row r="86" spans="1:31" ht="15.75" customHeight="1" x14ac:dyDescent="0.3">
      <c r="A86" s="217"/>
      <c r="B86" s="2" t="s">
        <v>100</v>
      </c>
      <c r="C86" s="15"/>
      <c r="D86" s="15"/>
      <c r="E86" s="15"/>
      <c r="F86" s="37">
        <v>15.199</v>
      </c>
      <c r="G86" s="15">
        <v>17.099</v>
      </c>
      <c r="H86" s="15">
        <v>19.065999999999999</v>
      </c>
      <c r="I86" s="15">
        <v>21.19</v>
      </c>
      <c r="J86" s="15">
        <v>22.556000000000001</v>
      </c>
      <c r="K86" s="15">
        <v>24.574000000000002</v>
      </c>
      <c r="L86" s="38">
        <v>25.533999999999999</v>
      </c>
      <c r="M86" s="15"/>
      <c r="N86" s="15" t="s">
        <v>113</v>
      </c>
      <c r="O86" s="16">
        <f t="shared" ref="O86" si="80">COUNTIF(A83:M83, "&gt;=0" )</f>
        <v>7</v>
      </c>
      <c r="Q86" s="217"/>
      <c r="R86" s="217"/>
      <c r="S86" s="2" t="s">
        <v>100</v>
      </c>
      <c r="T86" s="15"/>
      <c r="U86" s="15"/>
      <c r="V86" s="15"/>
      <c r="W86" s="15">
        <f t="shared" ref="W86:AC86" si="81">F86*F90</f>
        <v>7.5994999999999999</v>
      </c>
      <c r="X86" s="15">
        <f t="shared" si="81"/>
        <v>8.5495000000000001</v>
      </c>
      <c r="Y86" s="15">
        <f t="shared" si="81"/>
        <v>9.5329999999999995</v>
      </c>
      <c r="Z86" s="15">
        <f t="shared" si="81"/>
        <v>10.595000000000001</v>
      </c>
      <c r="AA86" s="15">
        <f t="shared" si="81"/>
        <v>11.278</v>
      </c>
      <c r="AB86" s="15">
        <f t="shared" si="81"/>
        <v>12.287000000000001</v>
      </c>
      <c r="AC86" s="15">
        <f t="shared" si="81"/>
        <v>12.766999999999999</v>
      </c>
      <c r="AD86" s="21">
        <f>SUM(T86:AC86)</f>
        <v>72.608999999999995</v>
      </c>
    </row>
    <row r="87" spans="1:31" x14ac:dyDescent="0.3">
      <c r="A87" s="217"/>
      <c r="B87" s="2" t="s">
        <v>114</v>
      </c>
      <c r="C87" s="15"/>
      <c r="D87" s="15"/>
      <c r="E87" s="15"/>
      <c r="F87" s="37">
        <v>11.457000000000001</v>
      </c>
      <c r="G87" s="15">
        <v>13.469000000000001</v>
      </c>
      <c r="H87" s="15">
        <v>15.276</v>
      </c>
      <c r="I87" s="15">
        <v>16.907</v>
      </c>
      <c r="J87" s="15">
        <v>17.839000000000002</v>
      </c>
      <c r="K87" s="15">
        <v>20.610000000000003</v>
      </c>
      <c r="L87" s="38">
        <v>22.405999999999999</v>
      </c>
      <c r="M87" s="15"/>
      <c r="N87" s="15"/>
      <c r="O87" s="15"/>
      <c r="Q87" s="217"/>
      <c r="R87" s="22"/>
      <c r="S87" s="2" t="s">
        <v>114</v>
      </c>
      <c r="T87" s="15"/>
      <c r="U87" s="15"/>
      <c r="V87" s="15"/>
      <c r="W87" s="15">
        <f t="shared" ref="W87:AC87" si="82">F87*F90</f>
        <v>5.7285000000000004</v>
      </c>
      <c r="X87" s="15">
        <f t="shared" si="82"/>
        <v>6.7345000000000006</v>
      </c>
      <c r="Y87" s="15">
        <f t="shared" si="82"/>
        <v>7.6379999999999999</v>
      </c>
      <c r="Z87" s="15">
        <f t="shared" si="82"/>
        <v>8.4535</v>
      </c>
      <c r="AA87" s="15">
        <f t="shared" si="82"/>
        <v>8.9195000000000011</v>
      </c>
      <c r="AB87" s="15">
        <f t="shared" si="82"/>
        <v>10.305000000000001</v>
      </c>
      <c r="AC87" s="15">
        <f t="shared" si="82"/>
        <v>11.202999999999999</v>
      </c>
      <c r="AD87" s="21">
        <f>SUM(T87:AC87)</f>
        <v>58.981999999999999</v>
      </c>
    </row>
    <row r="88" spans="1:31" x14ac:dyDescent="0.3">
      <c r="A88" s="217"/>
      <c r="C88" s="15"/>
      <c r="D88" s="15"/>
      <c r="E88" s="15"/>
      <c r="F88" s="37"/>
      <c r="G88" s="15"/>
      <c r="H88" s="15"/>
      <c r="I88" s="15"/>
      <c r="J88" s="15"/>
      <c r="K88" s="15"/>
      <c r="L88" s="38"/>
      <c r="M88" s="15"/>
      <c r="N88" s="15"/>
      <c r="O88" s="15"/>
      <c r="Q88" s="217"/>
      <c r="R88" s="22"/>
      <c r="S88" s="1" t="s">
        <v>115</v>
      </c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33">
        <f>(AD85-AD86)/AD85*100</f>
        <v>4.0819561685094961</v>
      </c>
      <c r="AE88" s="25"/>
    </row>
    <row r="89" spans="1:31" x14ac:dyDescent="0.3">
      <c r="A89" s="217"/>
      <c r="C89" s="15"/>
      <c r="D89" s="15"/>
      <c r="E89" s="15"/>
      <c r="F89" s="37"/>
      <c r="G89" s="15"/>
      <c r="H89" s="15"/>
      <c r="I89" s="15"/>
      <c r="J89" s="15"/>
      <c r="K89" s="15"/>
      <c r="L89" s="38"/>
      <c r="M89" s="15"/>
      <c r="N89" s="15"/>
      <c r="O89" s="15"/>
      <c r="Q89" s="217"/>
      <c r="R89" s="22"/>
      <c r="S89" s="1" t="s">
        <v>103</v>
      </c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33">
        <f>AD85-AD87</f>
        <v>16.716999999999999</v>
      </c>
      <c r="AE89" s="25"/>
    </row>
    <row r="90" spans="1:31" ht="16.2" thickBot="1" x14ac:dyDescent="0.35">
      <c r="A90" s="218"/>
      <c r="B90" s="2" t="s">
        <v>32</v>
      </c>
      <c r="C90" s="15"/>
      <c r="D90" s="15"/>
      <c r="E90" s="15"/>
      <c r="F90" s="37">
        <v>0.5</v>
      </c>
      <c r="G90" s="15">
        <v>0.5</v>
      </c>
      <c r="H90" s="15">
        <v>0.5</v>
      </c>
      <c r="I90" s="15">
        <v>0.5</v>
      </c>
      <c r="J90" s="15">
        <v>0.5</v>
      </c>
      <c r="K90" s="15">
        <v>0.5</v>
      </c>
      <c r="L90" s="38">
        <v>0.5</v>
      </c>
      <c r="M90" s="15"/>
      <c r="N90" s="15"/>
      <c r="O90" s="15"/>
      <c r="P90" s="16"/>
      <c r="Q90" s="218"/>
      <c r="R90" s="22"/>
      <c r="S90" s="2" t="s">
        <v>97</v>
      </c>
      <c r="T90" s="221" t="s">
        <v>134</v>
      </c>
      <c r="U90" s="221"/>
      <c r="V90" s="221"/>
      <c r="W90" s="221"/>
      <c r="X90" s="221"/>
      <c r="Y90" s="221"/>
      <c r="Z90" s="221"/>
      <c r="AA90" s="221"/>
      <c r="AB90" s="221"/>
      <c r="AC90" s="221"/>
      <c r="AD90" s="39"/>
    </row>
    <row r="91" spans="1:31" ht="15.75" customHeight="1" x14ac:dyDescent="0.3">
      <c r="A91" s="216" t="s">
        <v>135</v>
      </c>
      <c r="B91" s="13" t="s">
        <v>98</v>
      </c>
      <c r="C91" s="14"/>
      <c r="D91" s="14"/>
      <c r="E91" s="14"/>
      <c r="F91" s="34">
        <v>2.1120000000000001</v>
      </c>
      <c r="G91" s="14">
        <v>2.5990000000000002</v>
      </c>
      <c r="H91" s="14">
        <v>2.4569999999999999</v>
      </c>
      <c r="I91" s="14">
        <v>1.6140000000000001</v>
      </c>
      <c r="J91" s="14">
        <v>1.956</v>
      </c>
      <c r="K91" s="14">
        <v>2.4079999999999999</v>
      </c>
      <c r="L91" s="35">
        <v>2.9460000000000002</v>
      </c>
      <c r="M91" s="14"/>
      <c r="N91" s="15" t="s">
        <v>109</v>
      </c>
      <c r="O91" s="16">
        <f t="shared" ref="O91" si="83">COUNTIF(A91:L91, "&gt;0" )</f>
        <v>7</v>
      </c>
      <c r="Q91" s="216" t="s">
        <v>135</v>
      </c>
      <c r="R91" s="216" t="s">
        <v>2</v>
      </c>
      <c r="S91" s="36" t="s">
        <v>98</v>
      </c>
      <c r="T91" s="18"/>
      <c r="U91" s="18"/>
      <c r="V91" s="18"/>
      <c r="W91" s="18">
        <f t="shared" ref="W91:AC91" si="84">F91*F98</f>
        <v>1.056</v>
      </c>
      <c r="X91" s="18">
        <f t="shared" si="84"/>
        <v>1.3514800000000002</v>
      </c>
      <c r="Y91" s="18">
        <f t="shared" si="84"/>
        <v>1.17936</v>
      </c>
      <c r="Z91" s="18">
        <f t="shared" si="84"/>
        <v>0.80700000000000005</v>
      </c>
      <c r="AA91" s="18">
        <f t="shared" si="84"/>
        <v>0.97799999999999998</v>
      </c>
      <c r="AB91" s="18">
        <f t="shared" si="84"/>
        <v>1.2521599999999999</v>
      </c>
      <c r="AC91" s="18">
        <f t="shared" si="84"/>
        <v>1.41408</v>
      </c>
      <c r="AD91" s="33">
        <f>SUM(T91:AC91)</f>
        <v>8.0380800000000008</v>
      </c>
      <c r="AE91" s="25"/>
    </row>
    <row r="92" spans="1:31" ht="15.75" customHeight="1" x14ac:dyDescent="0.3">
      <c r="A92" s="217"/>
      <c r="B92" s="2" t="s">
        <v>110</v>
      </c>
      <c r="C92" s="15"/>
      <c r="D92" s="15"/>
      <c r="E92" s="15"/>
      <c r="F92" s="37" t="s">
        <v>112</v>
      </c>
      <c r="G92" s="15" t="s">
        <v>136</v>
      </c>
      <c r="H92" s="15" t="s">
        <v>111</v>
      </c>
      <c r="I92" s="15" t="s">
        <v>111</v>
      </c>
      <c r="J92" s="15" t="s">
        <v>111</v>
      </c>
      <c r="K92" s="15" t="s">
        <v>111</v>
      </c>
      <c r="L92" s="38" t="s">
        <v>111</v>
      </c>
      <c r="M92" s="15"/>
      <c r="N92" s="15" t="s">
        <v>105</v>
      </c>
      <c r="O92" s="15">
        <f t="shared" ref="O92" si="85">COUNTIF(A92:L92,"Cortex")</f>
        <v>5</v>
      </c>
      <c r="Q92" s="217"/>
      <c r="R92" s="217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21"/>
    </row>
    <row r="93" spans="1:31" ht="15.75" customHeight="1" x14ac:dyDescent="0.3">
      <c r="A93" s="217"/>
      <c r="B93" s="2" t="s">
        <v>99</v>
      </c>
      <c r="C93" s="15"/>
      <c r="D93" s="15"/>
      <c r="E93" s="15"/>
      <c r="F93" s="37">
        <v>16.853000000000002</v>
      </c>
      <c r="G93" s="15">
        <v>18.407</v>
      </c>
      <c r="H93" s="15">
        <v>21.254000000000001</v>
      </c>
      <c r="I93" s="15">
        <v>21.774000000000001</v>
      </c>
      <c r="J93" s="15">
        <v>23.091999999999999</v>
      </c>
      <c r="K93" s="15">
        <v>24.318999999999999</v>
      </c>
      <c r="L93" s="38">
        <v>23.844999999999999</v>
      </c>
      <c r="M93" s="15"/>
      <c r="N93" s="15" t="s">
        <v>106</v>
      </c>
      <c r="O93" s="15">
        <f t="shared" ref="O93" si="86">O91-O92</f>
        <v>2</v>
      </c>
      <c r="Q93" s="217"/>
      <c r="R93" s="217"/>
      <c r="S93" s="2" t="s">
        <v>99</v>
      </c>
      <c r="T93" s="15"/>
      <c r="U93" s="15"/>
      <c r="V93" s="15"/>
      <c r="W93" s="15">
        <f t="shared" ref="W93:AC93" si="87">F93*F98</f>
        <v>8.4265000000000008</v>
      </c>
      <c r="X93" s="15">
        <f t="shared" si="87"/>
        <v>9.5716400000000004</v>
      </c>
      <c r="Y93" s="15">
        <f t="shared" si="87"/>
        <v>10.201919999999999</v>
      </c>
      <c r="Z93" s="15">
        <f t="shared" si="87"/>
        <v>10.887</v>
      </c>
      <c r="AA93" s="15">
        <f t="shared" si="87"/>
        <v>11.545999999999999</v>
      </c>
      <c r="AB93" s="15">
        <f t="shared" si="87"/>
        <v>12.64588</v>
      </c>
      <c r="AC93" s="15">
        <f t="shared" si="87"/>
        <v>11.445599999999999</v>
      </c>
      <c r="AD93" s="21">
        <f>SUM(T93:AC93)</f>
        <v>74.72453999999999</v>
      </c>
    </row>
    <row r="94" spans="1:31" ht="15.75" customHeight="1" x14ac:dyDescent="0.3">
      <c r="A94" s="217"/>
      <c r="B94" s="2" t="s">
        <v>100</v>
      </c>
      <c r="C94" s="15"/>
      <c r="D94" s="15"/>
      <c r="E94" s="15"/>
      <c r="F94" s="37">
        <v>14.756</v>
      </c>
      <c r="G94" s="15">
        <v>16.727</v>
      </c>
      <c r="H94" s="15">
        <v>19.263999999999999</v>
      </c>
      <c r="I94" s="15">
        <v>20.363</v>
      </c>
      <c r="J94" s="15">
        <v>21.36</v>
      </c>
      <c r="K94" s="15">
        <v>22.798999999999999</v>
      </c>
      <c r="L94" s="38">
        <v>23.648000000000003</v>
      </c>
      <c r="M94" s="15"/>
      <c r="N94" s="15" t="s">
        <v>113</v>
      </c>
      <c r="O94" s="16">
        <f t="shared" ref="O94" si="88">COUNTIF(A91:M91, "&gt;=0" )</f>
        <v>7</v>
      </c>
      <c r="Q94" s="217"/>
      <c r="R94" s="217"/>
      <c r="S94" s="2" t="s">
        <v>100</v>
      </c>
      <c r="T94" s="15"/>
      <c r="U94" s="15"/>
      <c r="V94" s="15"/>
      <c r="W94" s="15">
        <f t="shared" ref="W94:AC94" si="89">F94*F98</f>
        <v>7.3780000000000001</v>
      </c>
      <c r="X94" s="15">
        <f t="shared" si="89"/>
        <v>8.6980400000000007</v>
      </c>
      <c r="Y94" s="15">
        <f t="shared" si="89"/>
        <v>9.2467199999999998</v>
      </c>
      <c r="Z94" s="15">
        <f t="shared" si="89"/>
        <v>10.1815</v>
      </c>
      <c r="AA94" s="15">
        <f t="shared" si="89"/>
        <v>10.68</v>
      </c>
      <c r="AB94" s="15">
        <f t="shared" si="89"/>
        <v>11.85548</v>
      </c>
      <c r="AC94" s="15">
        <f t="shared" si="89"/>
        <v>11.351040000000001</v>
      </c>
      <c r="AD94" s="21">
        <f>SUM(T94:AC94)</f>
        <v>69.390780000000007</v>
      </c>
    </row>
    <row r="95" spans="1:31" x14ac:dyDescent="0.3">
      <c r="A95" s="217"/>
      <c r="B95" s="2" t="s">
        <v>114</v>
      </c>
      <c r="C95" s="15"/>
      <c r="D95" s="15"/>
      <c r="E95" s="15"/>
      <c r="F95" s="37">
        <v>12.644</v>
      </c>
      <c r="G95" s="15">
        <v>14.128</v>
      </c>
      <c r="H95" s="15">
        <v>16.806999999999999</v>
      </c>
      <c r="I95" s="15">
        <v>18.748999999999999</v>
      </c>
      <c r="J95" s="15">
        <v>19.404</v>
      </c>
      <c r="K95" s="15">
        <v>20.390999999999998</v>
      </c>
      <c r="L95" s="38">
        <v>20.702000000000002</v>
      </c>
      <c r="M95" s="15"/>
      <c r="N95" s="15"/>
      <c r="O95" s="15"/>
      <c r="Q95" s="217"/>
      <c r="R95" s="22"/>
      <c r="S95" s="2" t="s">
        <v>114</v>
      </c>
      <c r="T95" s="15"/>
      <c r="U95" s="15"/>
      <c r="V95" s="15"/>
      <c r="W95" s="15">
        <f t="shared" ref="W95:AC95" si="90">F95*F98</f>
        <v>6.3220000000000001</v>
      </c>
      <c r="X95" s="15">
        <f t="shared" si="90"/>
        <v>7.3465600000000002</v>
      </c>
      <c r="Y95" s="15">
        <f t="shared" si="90"/>
        <v>8.067359999999999</v>
      </c>
      <c r="Z95" s="15">
        <f t="shared" si="90"/>
        <v>9.3744999999999994</v>
      </c>
      <c r="AA95" s="15">
        <f t="shared" si="90"/>
        <v>9.702</v>
      </c>
      <c r="AB95" s="15">
        <f t="shared" si="90"/>
        <v>10.60332</v>
      </c>
      <c r="AC95" s="15">
        <f t="shared" si="90"/>
        <v>9.9369600000000009</v>
      </c>
      <c r="AD95" s="21">
        <f>SUM(T95:AC95)</f>
        <v>61.352699999999999</v>
      </c>
    </row>
    <row r="96" spans="1:31" x14ac:dyDescent="0.3">
      <c r="A96" s="217"/>
      <c r="C96" s="15"/>
      <c r="D96" s="15"/>
      <c r="E96" s="15"/>
      <c r="F96" s="37"/>
      <c r="G96" s="15"/>
      <c r="H96" s="15"/>
      <c r="I96" s="15"/>
      <c r="J96" s="15"/>
      <c r="K96" s="15"/>
      <c r="L96" s="38"/>
      <c r="M96" s="15"/>
      <c r="N96" s="15"/>
      <c r="O96" s="15"/>
      <c r="Q96" s="217"/>
      <c r="R96" s="22"/>
      <c r="S96" s="1" t="s">
        <v>115</v>
      </c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33">
        <f>(AD93-AD94)/AD93*100</f>
        <v>7.1378960646662852</v>
      </c>
      <c r="AE96" s="25"/>
    </row>
    <row r="97" spans="1:31" x14ac:dyDescent="0.3">
      <c r="A97" s="217"/>
      <c r="C97" s="15"/>
      <c r="D97" s="15"/>
      <c r="E97" s="15"/>
      <c r="F97" s="37"/>
      <c r="G97" s="15"/>
      <c r="H97" s="15"/>
      <c r="I97" s="15"/>
      <c r="J97" s="15"/>
      <c r="K97" s="15"/>
      <c r="L97" s="38"/>
      <c r="M97" s="15"/>
      <c r="N97" s="15"/>
      <c r="O97" s="15"/>
      <c r="Q97" s="217"/>
      <c r="R97" s="22"/>
      <c r="S97" s="1" t="s">
        <v>103</v>
      </c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33">
        <f>AD93-AD95</f>
        <v>13.371839999999992</v>
      </c>
      <c r="AE97" s="25"/>
    </row>
    <row r="98" spans="1:31" ht="16.2" thickBot="1" x14ac:dyDescent="0.35">
      <c r="A98" s="218"/>
      <c r="B98" s="2" t="s">
        <v>32</v>
      </c>
      <c r="C98" s="15"/>
      <c r="D98" s="15"/>
      <c r="E98" s="15"/>
      <c r="F98" s="40">
        <v>0.5</v>
      </c>
      <c r="G98" s="15">
        <v>0.52</v>
      </c>
      <c r="H98" s="15">
        <v>0.48</v>
      </c>
      <c r="I98" s="15">
        <v>0.5</v>
      </c>
      <c r="J98" s="15">
        <v>0.5</v>
      </c>
      <c r="K98" s="15">
        <v>0.52</v>
      </c>
      <c r="L98" s="41">
        <v>0.48</v>
      </c>
      <c r="M98" s="15"/>
      <c r="N98" s="15"/>
      <c r="O98" s="15"/>
      <c r="P98" s="16"/>
      <c r="Q98" s="218"/>
      <c r="R98" s="22"/>
      <c r="S98" s="2" t="s">
        <v>97</v>
      </c>
      <c r="T98" s="221" t="s">
        <v>119</v>
      </c>
      <c r="U98" s="221"/>
      <c r="V98" s="221"/>
      <c r="W98" s="221"/>
      <c r="X98" s="221"/>
      <c r="Y98" s="221"/>
      <c r="Z98" s="221"/>
      <c r="AA98" s="221"/>
      <c r="AB98" s="221"/>
      <c r="AC98" s="221"/>
      <c r="AD98" s="39"/>
    </row>
    <row r="99" spans="1:31" ht="15.75" customHeight="1" x14ac:dyDescent="0.3">
      <c r="A99" s="216" t="s">
        <v>137</v>
      </c>
      <c r="B99" s="13" t="s">
        <v>98</v>
      </c>
      <c r="C99" s="14"/>
      <c r="D99" s="14"/>
      <c r="E99" s="34">
        <v>3.7469999999999999</v>
      </c>
      <c r="F99" s="14">
        <v>3.98</v>
      </c>
      <c r="G99" s="14">
        <v>4.2320000000000002</v>
      </c>
      <c r="H99" s="14">
        <v>3.4950000000000001</v>
      </c>
      <c r="I99" s="14">
        <v>3.8679999999999999</v>
      </c>
      <c r="J99" s="14">
        <v>2.391</v>
      </c>
      <c r="K99" s="35">
        <v>0.81799999999999995</v>
      </c>
      <c r="L99" s="14"/>
      <c r="M99" s="14"/>
      <c r="N99" s="15" t="s">
        <v>109</v>
      </c>
      <c r="O99" s="16">
        <f t="shared" ref="O99" si="91">COUNTIF(A99:L99, "&gt;0" )</f>
        <v>7</v>
      </c>
      <c r="Q99" s="216" t="s">
        <v>137</v>
      </c>
      <c r="R99" s="216" t="s">
        <v>2</v>
      </c>
      <c r="S99" s="36" t="s">
        <v>98</v>
      </c>
      <c r="T99" s="18"/>
      <c r="U99" s="18"/>
      <c r="V99" s="18">
        <f t="shared" ref="V99:AB99" si="92">E99*E106</f>
        <v>1.8734999999999999</v>
      </c>
      <c r="W99" s="18">
        <f t="shared" si="92"/>
        <v>2.0695999999999999</v>
      </c>
      <c r="X99" s="18">
        <f t="shared" si="92"/>
        <v>2.2006400000000004</v>
      </c>
      <c r="Y99" s="18">
        <f t="shared" si="92"/>
        <v>1.6077000000000001</v>
      </c>
      <c r="Z99" s="18">
        <f t="shared" si="92"/>
        <v>1.9339999999999999</v>
      </c>
      <c r="AA99" s="18">
        <f t="shared" si="92"/>
        <v>1.4824200000000001</v>
      </c>
      <c r="AB99" s="18">
        <f t="shared" si="92"/>
        <v>0.31084000000000001</v>
      </c>
      <c r="AC99" s="18"/>
      <c r="AD99" s="33">
        <f>SUM(T99:AC99)</f>
        <v>11.4787</v>
      </c>
      <c r="AE99" s="25"/>
    </row>
    <row r="100" spans="1:31" ht="15.75" customHeight="1" x14ac:dyDescent="0.3">
      <c r="A100" s="217"/>
      <c r="B100" s="2" t="s">
        <v>110</v>
      </c>
      <c r="C100" s="15"/>
      <c r="D100" s="15"/>
      <c r="E100" s="37" t="s">
        <v>112</v>
      </c>
      <c r="F100" s="15" t="s">
        <v>111</v>
      </c>
      <c r="G100" s="15" t="s">
        <v>112</v>
      </c>
      <c r="H100" s="15" t="s">
        <v>111</v>
      </c>
      <c r="I100" s="15" t="s">
        <v>112</v>
      </c>
      <c r="J100" s="15" t="s">
        <v>112</v>
      </c>
      <c r="K100" s="38" t="s">
        <v>111</v>
      </c>
      <c r="L100" s="15"/>
      <c r="M100" s="15"/>
      <c r="N100" s="15" t="s">
        <v>105</v>
      </c>
      <c r="O100" s="15">
        <f t="shared" ref="O100" si="93">COUNTIF(A100:L100,"Cortex")</f>
        <v>3</v>
      </c>
      <c r="Q100" s="217"/>
      <c r="R100" s="217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21"/>
    </row>
    <row r="101" spans="1:31" ht="15.75" customHeight="1" x14ac:dyDescent="0.3">
      <c r="A101" s="217"/>
      <c r="B101" s="2" t="s">
        <v>99</v>
      </c>
      <c r="C101" s="15"/>
      <c r="D101" s="15"/>
      <c r="E101" s="37">
        <v>15.904</v>
      </c>
      <c r="F101" s="15">
        <v>17.459</v>
      </c>
      <c r="G101" s="15">
        <v>20.667000000000002</v>
      </c>
      <c r="H101" s="15">
        <v>22.129000000000001</v>
      </c>
      <c r="I101" s="15">
        <v>24.303000000000001</v>
      </c>
      <c r="J101" s="15">
        <v>25.016999999999999</v>
      </c>
      <c r="K101" s="38">
        <v>25.427999999999997</v>
      </c>
      <c r="L101" s="15"/>
      <c r="M101" s="15"/>
      <c r="N101" s="15" t="s">
        <v>106</v>
      </c>
      <c r="O101" s="15">
        <f t="shared" ref="O101" si="94">O99-O100</f>
        <v>4</v>
      </c>
      <c r="Q101" s="217"/>
      <c r="R101" s="217"/>
      <c r="S101" s="2" t="s">
        <v>99</v>
      </c>
      <c r="T101" s="15"/>
      <c r="U101" s="15"/>
      <c r="V101" s="15">
        <f t="shared" ref="V101:AB101" si="95">E101*E106</f>
        <v>7.952</v>
      </c>
      <c r="W101" s="15">
        <f t="shared" si="95"/>
        <v>9.0786800000000003</v>
      </c>
      <c r="X101" s="15">
        <f t="shared" si="95"/>
        <v>10.746840000000001</v>
      </c>
      <c r="Y101" s="15">
        <f t="shared" si="95"/>
        <v>10.179340000000002</v>
      </c>
      <c r="Z101" s="15">
        <f t="shared" si="95"/>
        <v>12.1515</v>
      </c>
      <c r="AA101" s="15">
        <f t="shared" si="95"/>
        <v>15.510539999999999</v>
      </c>
      <c r="AB101" s="15">
        <f t="shared" si="95"/>
        <v>9.6626399999999997</v>
      </c>
      <c r="AC101" s="15"/>
      <c r="AD101" s="21">
        <f>SUM(T101:AC101)</f>
        <v>75.281539999999993</v>
      </c>
    </row>
    <row r="102" spans="1:31" ht="15.75" customHeight="1" x14ac:dyDescent="0.3">
      <c r="A102" s="217"/>
      <c r="B102" s="2" t="s">
        <v>100</v>
      </c>
      <c r="C102" s="15"/>
      <c r="D102" s="15"/>
      <c r="E102" s="37">
        <v>17.446999999999999</v>
      </c>
      <c r="F102" s="15">
        <v>18.745999999999999</v>
      </c>
      <c r="G102" s="15">
        <v>22.295000000000002</v>
      </c>
      <c r="H102" s="15">
        <v>22.675000000000001</v>
      </c>
      <c r="I102" s="15">
        <v>24.814</v>
      </c>
      <c r="J102" s="15">
        <v>25.309000000000001</v>
      </c>
      <c r="K102" s="38">
        <v>24.589000000000002</v>
      </c>
      <c r="L102" s="15"/>
      <c r="M102" s="15"/>
      <c r="N102" s="15" t="s">
        <v>113</v>
      </c>
      <c r="O102" s="16">
        <f t="shared" ref="O102" si="96">COUNTIF(A99:M99, "&gt;=0" )</f>
        <v>7</v>
      </c>
      <c r="Q102" s="217"/>
      <c r="R102" s="217"/>
      <c r="S102" s="2" t="s">
        <v>100</v>
      </c>
      <c r="T102" s="15"/>
      <c r="U102" s="15"/>
      <c r="V102" s="15">
        <f t="shared" ref="V102:AB102" si="97">E102*E106</f>
        <v>8.7234999999999996</v>
      </c>
      <c r="W102" s="15">
        <f t="shared" si="97"/>
        <v>9.7479199999999988</v>
      </c>
      <c r="X102" s="15">
        <f t="shared" si="97"/>
        <v>11.593400000000001</v>
      </c>
      <c r="Y102" s="15">
        <f t="shared" si="97"/>
        <v>10.4305</v>
      </c>
      <c r="Z102" s="15">
        <f t="shared" si="97"/>
        <v>12.407</v>
      </c>
      <c r="AA102" s="15">
        <f t="shared" si="97"/>
        <v>15.69158</v>
      </c>
      <c r="AB102" s="15">
        <f t="shared" si="97"/>
        <v>9.3438200000000009</v>
      </c>
      <c r="AC102" s="15"/>
      <c r="AD102" s="21">
        <f>SUM(T102:AC102)</f>
        <v>77.937720000000013</v>
      </c>
    </row>
    <row r="103" spans="1:31" x14ac:dyDescent="0.3">
      <c r="A103" s="217"/>
      <c r="B103" s="2" t="s">
        <v>114</v>
      </c>
      <c r="C103" s="15"/>
      <c r="D103" s="15"/>
      <c r="E103" s="37">
        <v>13.7</v>
      </c>
      <c r="F103" s="15">
        <v>14.765999999999998</v>
      </c>
      <c r="G103" s="15">
        <v>18.063000000000002</v>
      </c>
      <c r="H103" s="15">
        <v>19.18</v>
      </c>
      <c r="I103" s="15">
        <v>20.946000000000002</v>
      </c>
      <c r="J103" s="15">
        <v>22.917999999999999</v>
      </c>
      <c r="K103" s="38">
        <v>23.771000000000001</v>
      </c>
      <c r="L103" s="15"/>
      <c r="M103" s="15"/>
      <c r="N103" s="15"/>
      <c r="O103" s="15"/>
      <c r="Q103" s="217"/>
      <c r="R103" s="22"/>
      <c r="S103" s="2" t="s">
        <v>114</v>
      </c>
      <c r="T103" s="15"/>
      <c r="U103" s="15"/>
      <c r="V103" s="15">
        <f t="shared" ref="V103:AB103" si="98">E103*E106</f>
        <v>6.85</v>
      </c>
      <c r="W103" s="15">
        <f t="shared" si="98"/>
        <v>7.6783199999999994</v>
      </c>
      <c r="X103" s="15">
        <f t="shared" si="98"/>
        <v>9.3927600000000009</v>
      </c>
      <c r="Y103" s="15">
        <f t="shared" si="98"/>
        <v>8.8228000000000009</v>
      </c>
      <c r="Z103" s="15">
        <f t="shared" si="98"/>
        <v>10.473000000000001</v>
      </c>
      <c r="AA103" s="15">
        <f t="shared" si="98"/>
        <v>14.209159999999999</v>
      </c>
      <c r="AB103" s="15">
        <f t="shared" si="98"/>
        <v>9.0329800000000002</v>
      </c>
      <c r="AC103" s="15"/>
      <c r="AD103" s="21">
        <f>SUM(T103:AC103)</f>
        <v>66.459019999999995</v>
      </c>
    </row>
    <row r="104" spans="1:31" x14ac:dyDescent="0.3">
      <c r="A104" s="217"/>
      <c r="C104" s="15"/>
      <c r="D104" s="15"/>
      <c r="E104" s="37"/>
      <c r="F104" s="15"/>
      <c r="G104" s="15"/>
      <c r="H104" s="15"/>
      <c r="I104" s="15"/>
      <c r="J104" s="15"/>
      <c r="K104" s="38"/>
      <c r="L104" s="15"/>
      <c r="M104" s="15"/>
      <c r="N104" s="15"/>
      <c r="O104" s="15"/>
      <c r="Q104" s="217"/>
      <c r="R104" s="22"/>
      <c r="S104" s="1" t="s">
        <v>115</v>
      </c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33">
        <f>(AD101-AD102)/AD101*100</f>
        <v>-3.5283284587430339</v>
      </c>
      <c r="AE104" s="25"/>
    </row>
    <row r="105" spans="1:31" x14ac:dyDescent="0.3">
      <c r="A105" s="217"/>
      <c r="C105" s="15"/>
      <c r="D105" s="15"/>
      <c r="E105" s="37"/>
      <c r="F105" s="15"/>
      <c r="G105" s="15"/>
      <c r="H105" s="15"/>
      <c r="I105" s="15"/>
      <c r="J105" s="15"/>
      <c r="K105" s="38"/>
      <c r="L105" s="15"/>
      <c r="M105" s="15"/>
      <c r="N105" s="15"/>
      <c r="O105" s="15"/>
      <c r="Q105" s="217"/>
      <c r="R105" s="22"/>
      <c r="S105" s="1" t="s">
        <v>103</v>
      </c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33">
        <f>AD101-AD103</f>
        <v>8.8225199999999973</v>
      </c>
      <c r="AE105" s="25"/>
    </row>
    <row r="106" spans="1:31" ht="16.2" thickBot="1" x14ac:dyDescent="0.35">
      <c r="A106" s="218"/>
      <c r="B106" s="2" t="s">
        <v>32</v>
      </c>
      <c r="C106" s="15"/>
      <c r="D106" s="15"/>
      <c r="E106" s="40">
        <v>0.5</v>
      </c>
      <c r="F106" s="15">
        <v>0.52</v>
      </c>
      <c r="G106" s="15">
        <v>0.52</v>
      </c>
      <c r="H106" s="15">
        <v>0.46</v>
      </c>
      <c r="I106" s="15">
        <v>0.5</v>
      </c>
      <c r="J106" s="15">
        <v>0.62</v>
      </c>
      <c r="K106" s="41">
        <v>0.38</v>
      </c>
      <c r="L106" s="15"/>
      <c r="M106" s="15"/>
      <c r="N106" s="15"/>
      <c r="O106" s="15"/>
      <c r="P106" s="16"/>
      <c r="Q106" s="218"/>
      <c r="R106" s="22"/>
      <c r="S106" s="2" t="s">
        <v>97</v>
      </c>
      <c r="T106" s="221"/>
      <c r="U106" s="221"/>
      <c r="V106" s="221"/>
      <c r="W106" s="221"/>
      <c r="X106" s="221"/>
      <c r="Y106" s="221"/>
      <c r="Z106" s="221"/>
      <c r="AA106" s="221"/>
      <c r="AB106" s="221"/>
      <c r="AC106" s="221"/>
      <c r="AD106" s="39"/>
    </row>
    <row r="107" spans="1:31" ht="15.75" customHeight="1" x14ac:dyDescent="0.3">
      <c r="A107" s="216" t="s">
        <v>138</v>
      </c>
      <c r="B107" s="13" t="s">
        <v>98</v>
      </c>
      <c r="C107" s="14"/>
      <c r="D107" s="14"/>
      <c r="E107" s="14"/>
      <c r="F107" s="34">
        <v>2.7250000000000001</v>
      </c>
      <c r="G107" s="14">
        <v>2.72</v>
      </c>
      <c r="H107" s="14">
        <v>2.0100000000000002</v>
      </c>
      <c r="I107" s="14">
        <v>2.2000000000000002</v>
      </c>
      <c r="J107" s="14">
        <v>2.2010000000000001</v>
      </c>
      <c r="K107" s="14">
        <v>1.8420000000000001</v>
      </c>
      <c r="L107" s="35">
        <v>1.5009999999999999</v>
      </c>
      <c r="M107" s="14"/>
      <c r="N107" s="15" t="s">
        <v>109</v>
      </c>
      <c r="O107" s="16">
        <f t="shared" ref="O107" si="99">COUNTIF(A107:L107, "&gt;0" )</f>
        <v>7</v>
      </c>
      <c r="Q107" s="216" t="s">
        <v>138</v>
      </c>
      <c r="R107" s="216" t="s">
        <v>2</v>
      </c>
      <c r="S107" s="36" t="s">
        <v>98</v>
      </c>
      <c r="T107" s="18"/>
      <c r="U107" s="18"/>
      <c r="V107" s="18"/>
      <c r="W107" s="18">
        <f t="shared" ref="W107:AC107" si="100">F107*F114</f>
        <v>1.2534999999999998</v>
      </c>
      <c r="X107" s="18">
        <f t="shared" si="100"/>
        <v>1.1968000000000001</v>
      </c>
      <c r="Y107" s="18">
        <f t="shared" si="100"/>
        <v>1.2864000000000002</v>
      </c>
      <c r="Z107" s="18">
        <f t="shared" si="100"/>
        <v>0.83600000000000008</v>
      </c>
      <c r="AA107" s="18">
        <f t="shared" si="100"/>
        <v>1.1005</v>
      </c>
      <c r="AB107" s="18">
        <f t="shared" si="100"/>
        <v>0.99468000000000012</v>
      </c>
      <c r="AC107" s="18">
        <f t="shared" si="100"/>
        <v>0.7204799999999999</v>
      </c>
      <c r="AD107" s="33">
        <f>SUM(T107:AC107)</f>
        <v>7.3883600000000005</v>
      </c>
      <c r="AE107" s="25"/>
    </row>
    <row r="108" spans="1:31" ht="15.75" customHeight="1" x14ac:dyDescent="0.3">
      <c r="A108" s="217"/>
      <c r="B108" s="2" t="s">
        <v>110</v>
      </c>
      <c r="C108" s="15"/>
      <c r="D108" s="15"/>
      <c r="E108" s="15"/>
      <c r="F108" s="37" t="s">
        <v>111</v>
      </c>
      <c r="G108" s="15" t="s">
        <v>112</v>
      </c>
      <c r="H108" s="15" t="s">
        <v>112</v>
      </c>
      <c r="I108" s="15" t="s">
        <v>112</v>
      </c>
      <c r="J108" s="15" t="s">
        <v>112</v>
      </c>
      <c r="K108" s="15" t="s">
        <v>112</v>
      </c>
      <c r="L108" s="38" t="s">
        <v>111</v>
      </c>
      <c r="M108" s="15"/>
      <c r="N108" s="15" t="s">
        <v>105</v>
      </c>
      <c r="O108" s="15">
        <f t="shared" ref="O108" si="101">COUNTIF(A108:L108,"Cortex")</f>
        <v>2</v>
      </c>
      <c r="Q108" s="217"/>
      <c r="R108" s="217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21"/>
    </row>
    <row r="109" spans="1:31" ht="15.75" customHeight="1" x14ac:dyDescent="0.3">
      <c r="A109" s="217"/>
      <c r="B109" s="2" t="s">
        <v>99</v>
      </c>
      <c r="C109" s="15"/>
      <c r="D109" s="15"/>
      <c r="E109" s="15"/>
      <c r="F109" s="37">
        <v>16.448</v>
      </c>
      <c r="G109" s="15">
        <v>18.507000000000001</v>
      </c>
      <c r="H109" s="15">
        <v>21.78</v>
      </c>
      <c r="I109" s="15">
        <v>23.27</v>
      </c>
      <c r="J109" s="15">
        <v>23.805</v>
      </c>
      <c r="K109" s="15">
        <v>25.495000000000001</v>
      </c>
      <c r="L109" s="38">
        <v>27.774999999999999</v>
      </c>
      <c r="M109" s="15"/>
      <c r="N109" s="15" t="s">
        <v>106</v>
      </c>
      <c r="O109" s="15">
        <f t="shared" ref="O109" si="102">O107-O108</f>
        <v>5</v>
      </c>
      <c r="Q109" s="217"/>
      <c r="R109" s="217"/>
      <c r="S109" s="2" t="s">
        <v>99</v>
      </c>
      <c r="T109" s="15"/>
      <c r="U109" s="15"/>
      <c r="V109" s="15"/>
      <c r="W109" s="15">
        <f t="shared" ref="W109:AC109" si="103">F109*F114</f>
        <v>7.5660799999999995</v>
      </c>
      <c r="X109" s="15">
        <f t="shared" si="103"/>
        <v>8.1430800000000012</v>
      </c>
      <c r="Y109" s="15">
        <f t="shared" si="103"/>
        <v>13.939200000000001</v>
      </c>
      <c r="Z109" s="15">
        <f t="shared" si="103"/>
        <v>8.8425999999999991</v>
      </c>
      <c r="AA109" s="15">
        <f t="shared" si="103"/>
        <v>11.9025</v>
      </c>
      <c r="AB109" s="15">
        <f t="shared" si="103"/>
        <v>13.767300000000002</v>
      </c>
      <c r="AC109" s="15">
        <f t="shared" si="103"/>
        <v>13.331999999999999</v>
      </c>
      <c r="AD109" s="21">
        <f>SUM(T109:AC109)</f>
        <v>77.492760000000004</v>
      </c>
    </row>
    <row r="110" spans="1:31" ht="15.75" customHeight="1" x14ac:dyDescent="0.3">
      <c r="A110" s="217"/>
      <c r="B110" s="2" t="s">
        <v>100</v>
      </c>
      <c r="C110" s="15"/>
      <c r="D110" s="15"/>
      <c r="E110" s="15"/>
      <c r="F110" s="37">
        <v>15.314</v>
      </c>
      <c r="G110" s="15">
        <v>18.157</v>
      </c>
      <c r="H110" s="15">
        <v>23.154</v>
      </c>
      <c r="I110" s="15">
        <v>23.565000000000001</v>
      </c>
      <c r="J110" s="15">
        <v>24.044</v>
      </c>
      <c r="K110" s="15">
        <v>26.367999999999999</v>
      </c>
      <c r="L110" s="38">
        <v>25.783999999999999</v>
      </c>
      <c r="M110" s="15"/>
      <c r="N110" s="15" t="s">
        <v>113</v>
      </c>
      <c r="O110" s="16">
        <f t="shared" ref="O110" si="104">COUNTIF(A107:M107, "&gt;=0" )</f>
        <v>7</v>
      </c>
      <c r="Q110" s="217"/>
      <c r="R110" s="217"/>
      <c r="S110" s="2" t="s">
        <v>100</v>
      </c>
      <c r="T110" s="15"/>
      <c r="U110" s="15"/>
      <c r="V110" s="15"/>
      <c r="W110" s="15">
        <f t="shared" ref="W110:AC110" si="105">F110*F114</f>
        <v>7.0444399999999998</v>
      </c>
      <c r="X110" s="15">
        <f t="shared" si="105"/>
        <v>7.9890800000000004</v>
      </c>
      <c r="Y110" s="15">
        <f t="shared" si="105"/>
        <v>14.81856</v>
      </c>
      <c r="Z110" s="15">
        <f t="shared" si="105"/>
        <v>8.9547000000000008</v>
      </c>
      <c r="AA110" s="15">
        <f t="shared" si="105"/>
        <v>12.022</v>
      </c>
      <c r="AB110" s="15">
        <f t="shared" si="105"/>
        <v>14.238720000000001</v>
      </c>
      <c r="AC110" s="15">
        <f t="shared" si="105"/>
        <v>12.37632</v>
      </c>
      <c r="AD110" s="21">
        <f>SUM(T110:AC110)</f>
        <v>77.443819999999988</v>
      </c>
    </row>
    <row r="111" spans="1:31" x14ac:dyDescent="0.3">
      <c r="A111" s="217"/>
      <c r="B111" s="2" t="s">
        <v>114</v>
      </c>
      <c r="C111" s="15"/>
      <c r="D111" s="15"/>
      <c r="E111" s="15"/>
      <c r="F111" s="37">
        <v>12.589</v>
      </c>
      <c r="G111" s="15">
        <v>15.436999999999999</v>
      </c>
      <c r="H111" s="15">
        <v>21.143999999999998</v>
      </c>
      <c r="I111" s="15">
        <v>21.365000000000002</v>
      </c>
      <c r="J111" s="15">
        <v>21.843</v>
      </c>
      <c r="K111" s="15">
        <v>24.526</v>
      </c>
      <c r="L111" s="38">
        <v>24.282999999999998</v>
      </c>
      <c r="M111" s="15"/>
      <c r="N111" s="15"/>
      <c r="O111" s="15"/>
      <c r="Q111" s="217"/>
      <c r="R111" s="22"/>
      <c r="S111" s="2" t="s">
        <v>114</v>
      </c>
      <c r="T111" s="15"/>
      <c r="U111" s="15"/>
      <c r="V111" s="15"/>
      <c r="W111" s="15">
        <f t="shared" ref="W111:AC111" si="106">F111*F114</f>
        <v>5.79094</v>
      </c>
      <c r="X111" s="15">
        <f t="shared" si="106"/>
        <v>6.7922799999999999</v>
      </c>
      <c r="Y111" s="15">
        <f t="shared" si="106"/>
        <v>13.532159999999999</v>
      </c>
      <c r="Z111" s="15">
        <f t="shared" si="106"/>
        <v>8.1187000000000005</v>
      </c>
      <c r="AA111" s="15">
        <f t="shared" si="106"/>
        <v>10.9215</v>
      </c>
      <c r="AB111" s="15">
        <f t="shared" si="106"/>
        <v>13.24404</v>
      </c>
      <c r="AC111" s="15">
        <f t="shared" si="106"/>
        <v>11.655839999999998</v>
      </c>
      <c r="AD111" s="21">
        <f>SUM(T111:AC111)</f>
        <v>70.055460000000011</v>
      </c>
    </row>
    <row r="112" spans="1:31" x14ac:dyDescent="0.3">
      <c r="A112" s="217"/>
      <c r="C112" s="15"/>
      <c r="D112" s="15"/>
      <c r="E112" s="15"/>
      <c r="F112" s="37"/>
      <c r="G112" s="15"/>
      <c r="H112" s="15"/>
      <c r="I112" s="15"/>
      <c r="J112" s="15"/>
      <c r="K112" s="15"/>
      <c r="L112" s="38"/>
      <c r="M112" s="15"/>
      <c r="N112" s="15"/>
      <c r="O112" s="15"/>
      <c r="Q112" s="217"/>
      <c r="R112" s="22"/>
      <c r="S112" s="1" t="s">
        <v>115</v>
      </c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33">
        <f>(AD109-AD110)/AD109*100</f>
        <v>6.315428692953505E-2</v>
      </c>
      <c r="AE112" s="25"/>
    </row>
    <row r="113" spans="1:31" x14ac:dyDescent="0.3">
      <c r="A113" s="217"/>
      <c r="C113" s="15"/>
      <c r="D113" s="15"/>
      <c r="E113" s="15"/>
      <c r="F113" s="37"/>
      <c r="G113" s="15"/>
      <c r="H113" s="15"/>
      <c r="I113" s="15"/>
      <c r="J113" s="15"/>
      <c r="K113" s="15"/>
      <c r="L113" s="38"/>
      <c r="M113" s="15"/>
      <c r="N113" s="15"/>
      <c r="O113" s="15"/>
      <c r="Q113" s="217"/>
      <c r="R113" s="22"/>
      <c r="S113" s="1" t="s">
        <v>103</v>
      </c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33">
        <f>AD109-AD111</f>
        <v>7.4372999999999934</v>
      </c>
      <c r="AE113" s="25"/>
    </row>
    <row r="114" spans="1:31" ht="16.2" thickBot="1" x14ac:dyDescent="0.35">
      <c r="A114" s="218"/>
      <c r="B114" s="2" t="s">
        <v>32</v>
      </c>
      <c r="C114" s="15"/>
      <c r="D114" s="15"/>
      <c r="E114" s="15"/>
      <c r="F114" s="40">
        <v>0.45999999999999996</v>
      </c>
      <c r="G114" s="15">
        <v>0.44</v>
      </c>
      <c r="H114" s="15">
        <v>0.64</v>
      </c>
      <c r="I114" s="15">
        <v>0.38</v>
      </c>
      <c r="J114" s="15">
        <v>0.5</v>
      </c>
      <c r="K114" s="15">
        <v>0.54</v>
      </c>
      <c r="L114" s="41">
        <v>0.48</v>
      </c>
      <c r="M114" s="15"/>
      <c r="N114" s="15"/>
      <c r="O114" s="15"/>
      <c r="P114" s="16"/>
      <c r="Q114" s="218"/>
      <c r="R114" s="22"/>
      <c r="S114" s="2" t="s">
        <v>97</v>
      </c>
      <c r="T114" s="219"/>
      <c r="U114" s="219"/>
      <c r="V114" s="219"/>
      <c r="W114" s="219"/>
      <c r="X114" s="219"/>
      <c r="Y114" s="219"/>
      <c r="Z114" s="219"/>
      <c r="AA114" s="219"/>
      <c r="AB114" s="219"/>
      <c r="AC114" s="219"/>
      <c r="AD114" s="39"/>
    </row>
    <row r="115" spans="1:31" ht="15.75" customHeight="1" x14ac:dyDescent="0.3">
      <c r="A115" s="216" t="s">
        <v>139</v>
      </c>
      <c r="B115" s="13" t="s">
        <v>98</v>
      </c>
      <c r="C115" s="14"/>
      <c r="D115" s="14"/>
      <c r="E115" s="34">
        <v>3.161</v>
      </c>
      <c r="F115" s="14">
        <v>4.274</v>
      </c>
      <c r="G115" s="14">
        <v>4.859</v>
      </c>
      <c r="H115" s="14">
        <v>4.5910000000000002</v>
      </c>
      <c r="I115" s="14">
        <v>3.9060000000000001</v>
      </c>
      <c r="J115" s="14">
        <v>3.2949999999999999</v>
      </c>
      <c r="K115" s="35">
        <v>3.6680000000000001</v>
      </c>
      <c r="L115" s="14"/>
      <c r="M115" s="14"/>
      <c r="N115" s="15" t="s">
        <v>109</v>
      </c>
      <c r="O115" s="16">
        <f t="shared" ref="O115" si="107">COUNTIF(A115:L115, "&gt;0" )</f>
        <v>7</v>
      </c>
      <c r="Q115" s="216" t="s">
        <v>139</v>
      </c>
      <c r="R115" s="216" t="s">
        <v>2</v>
      </c>
      <c r="S115" s="36" t="s">
        <v>98</v>
      </c>
      <c r="T115" s="18"/>
      <c r="U115" s="18"/>
      <c r="V115" s="18">
        <f t="shared" ref="V115:AB115" si="108">E115*E122</f>
        <v>1.3908400000000001</v>
      </c>
      <c r="W115" s="18">
        <f t="shared" si="108"/>
        <v>2.137</v>
      </c>
      <c r="X115" s="18">
        <f t="shared" si="108"/>
        <v>2.5266800000000003</v>
      </c>
      <c r="Y115" s="18">
        <f t="shared" si="108"/>
        <v>2.2036799999999999</v>
      </c>
      <c r="Z115" s="18">
        <f t="shared" si="108"/>
        <v>2.03112</v>
      </c>
      <c r="AA115" s="18">
        <f t="shared" si="108"/>
        <v>1.5815999999999999</v>
      </c>
      <c r="AB115" s="18">
        <f t="shared" si="108"/>
        <v>1.9073600000000002</v>
      </c>
      <c r="AC115" s="18"/>
      <c r="AD115" s="33">
        <f>SUM(T115:AC115)</f>
        <v>13.778280000000001</v>
      </c>
      <c r="AE115" s="25"/>
    </row>
    <row r="116" spans="1:31" ht="15.75" customHeight="1" x14ac:dyDescent="0.3">
      <c r="A116" s="217"/>
      <c r="B116" s="2" t="s">
        <v>110</v>
      </c>
      <c r="C116" s="15"/>
      <c r="D116" s="15"/>
      <c r="E116" s="37" t="s">
        <v>111</v>
      </c>
      <c r="F116" s="15" t="s">
        <v>140</v>
      </c>
      <c r="G116" s="15" t="s">
        <v>140</v>
      </c>
      <c r="H116" s="15" t="s">
        <v>140</v>
      </c>
      <c r="I116" s="15" t="s">
        <v>140</v>
      </c>
      <c r="J116" s="15" t="s">
        <v>112</v>
      </c>
      <c r="K116" s="38" t="s">
        <v>112</v>
      </c>
      <c r="L116" s="15"/>
      <c r="M116" s="15"/>
      <c r="N116" s="15" t="s">
        <v>105</v>
      </c>
      <c r="O116" s="15">
        <f t="shared" ref="O116" si="109">COUNTIF(A116:L116,"Cortex")</f>
        <v>1</v>
      </c>
      <c r="Q116" s="217"/>
      <c r="R116" s="217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21"/>
    </row>
    <row r="117" spans="1:31" ht="15.75" customHeight="1" x14ac:dyDescent="0.3">
      <c r="A117" s="217"/>
      <c r="B117" s="2" t="s">
        <v>99</v>
      </c>
      <c r="C117" s="15"/>
      <c r="D117" s="15"/>
      <c r="E117" s="37">
        <v>16.608000000000001</v>
      </c>
      <c r="F117" s="15">
        <v>18.794</v>
      </c>
      <c r="G117" s="15">
        <v>20.408999999999999</v>
      </c>
      <c r="H117" s="15">
        <v>22.782</v>
      </c>
      <c r="I117" s="15">
        <v>23.905000000000001</v>
      </c>
      <c r="J117" s="15">
        <v>24.635999999999999</v>
      </c>
      <c r="K117" s="38">
        <v>25.521000000000001</v>
      </c>
      <c r="L117" s="15"/>
      <c r="M117" s="15"/>
      <c r="N117" s="15" t="s">
        <v>106</v>
      </c>
      <c r="O117" s="15">
        <f t="shared" ref="O117" si="110">O115-O116</f>
        <v>6</v>
      </c>
      <c r="Q117" s="217"/>
      <c r="R117" s="217"/>
      <c r="S117" s="2" t="s">
        <v>99</v>
      </c>
      <c r="T117" s="15"/>
      <c r="U117" s="15"/>
      <c r="V117" s="15">
        <f t="shared" ref="V117:AB117" si="111">E117*E122</f>
        <v>7.3075200000000002</v>
      </c>
      <c r="W117" s="15">
        <f t="shared" si="111"/>
        <v>9.3970000000000002</v>
      </c>
      <c r="X117" s="15">
        <f t="shared" si="111"/>
        <v>10.612679999999999</v>
      </c>
      <c r="Y117" s="15">
        <f t="shared" si="111"/>
        <v>10.935359999999999</v>
      </c>
      <c r="Z117" s="15">
        <f t="shared" si="111"/>
        <v>12.430600000000002</v>
      </c>
      <c r="AA117" s="15">
        <f t="shared" si="111"/>
        <v>11.825279999999999</v>
      </c>
      <c r="AB117" s="15">
        <f t="shared" si="111"/>
        <v>13.27092</v>
      </c>
      <c r="AC117" s="15"/>
      <c r="AD117" s="21">
        <f>SUM(T117:AC117)</f>
        <v>75.779359999999997</v>
      </c>
    </row>
    <row r="118" spans="1:31" ht="15.75" customHeight="1" x14ac:dyDescent="0.3">
      <c r="A118" s="217"/>
      <c r="B118" s="2" t="s">
        <v>100</v>
      </c>
      <c r="C118" s="15"/>
      <c r="D118" s="15"/>
      <c r="E118" s="37">
        <v>16.7</v>
      </c>
      <c r="F118" s="15">
        <v>19.071999999999999</v>
      </c>
      <c r="G118" s="15">
        <v>21.652000000000001</v>
      </c>
      <c r="H118" s="15">
        <v>22.850999999999999</v>
      </c>
      <c r="I118" s="15">
        <v>23.922999999999998</v>
      </c>
      <c r="J118" s="15">
        <v>24.998000000000001</v>
      </c>
      <c r="K118" s="38">
        <v>26.42</v>
      </c>
      <c r="L118" s="15"/>
      <c r="M118" s="15"/>
      <c r="N118" s="15" t="s">
        <v>113</v>
      </c>
      <c r="O118" s="16">
        <f t="shared" ref="O118" si="112">COUNTIF(A115:M115, "&gt;=0" )</f>
        <v>7</v>
      </c>
      <c r="Q118" s="217"/>
      <c r="R118" s="217"/>
      <c r="S118" s="2" t="s">
        <v>100</v>
      </c>
      <c r="T118" s="15"/>
      <c r="U118" s="15"/>
      <c r="V118" s="15">
        <f t="shared" ref="V118:AB118" si="113">E118*E122</f>
        <v>7.3479999999999999</v>
      </c>
      <c r="W118" s="15">
        <f t="shared" si="113"/>
        <v>9.5359999999999996</v>
      </c>
      <c r="X118" s="15">
        <f t="shared" si="113"/>
        <v>11.259040000000001</v>
      </c>
      <c r="Y118" s="15">
        <f t="shared" si="113"/>
        <v>10.96848</v>
      </c>
      <c r="Z118" s="15">
        <f t="shared" si="113"/>
        <v>12.439959999999999</v>
      </c>
      <c r="AA118" s="15">
        <f t="shared" si="113"/>
        <v>11.999040000000001</v>
      </c>
      <c r="AB118" s="15">
        <f t="shared" si="113"/>
        <v>13.738400000000002</v>
      </c>
      <c r="AC118" s="15"/>
      <c r="AD118" s="21">
        <f>SUM(T118:AC118)</f>
        <v>77.288920000000005</v>
      </c>
    </row>
    <row r="119" spans="1:31" x14ac:dyDescent="0.3">
      <c r="A119" s="22"/>
      <c r="B119" s="2" t="s">
        <v>114</v>
      </c>
      <c r="C119" s="15"/>
      <c r="D119" s="15"/>
      <c r="E119" s="37">
        <v>13.539</v>
      </c>
      <c r="F119" s="15">
        <v>14.797999999999998</v>
      </c>
      <c r="G119" s="15">
        <v>16.792999999999999</v>
      </c>
      <c r="H119" s="15">
        <v>18.259999999999998</v>
      </c>
      <c r="I119" s="15">
        <v>20.016999999999999</v>
      </c>
      <c r="J119" s="15">
        <v>21.703000000000003</v>
      </c>
      <c r="K119" s="38">
        <v>22.752000000000002</v>
      </c>
      <c r="L119" s="15"/>
      <c r="M119" s="15"/>
      <c r="N119" s="15"/>
      <c r="O119" s="15"/>
      <c r="Q119" s="22"/>
      <c r="R119" s="22"/>
      <c r="S119" s="2" t="s">
        <v>114</v>
      </c>
      <c r="T119" s="15"/>
      <c r="U119" s="15"/>
      <c r="V119" s="15">
        <f t="shared" ref="V119:AB119" si="114">E119*E122</f>
        <v>5.95716</v>
      </c>
      <c r="W119" s="15">
        <f t="shared" si="114"/>
        <v>7.3989999999999991</v>
      </c>
      <c r="X119" s="15">
        <f t="shared" si="114"/>
        <v>8.7323599999999999</v>
      </c>
      <c r="Y119" s="15">
        <f t="shared" si="114"/>
        <v>8.7647999999999993</v>
      </c>
      <c r="Z119" s="15">
        <f t="shared" si="114"/>
        <v>10.40884</v>
      </c>
      <c r="AA119" s="15">
        <f t="shared" si="114"/>
        <v>10.417440000000001</v>
      </c>
      <c r="AB119" s="15">
        <f t="shared" si="114"/>
        <v>11.831040000000002</v>
      </c>
      <c r="AC119" s="15"/>
      <c r="AD119" s="21">
        <f>SUM(T119:AC119)</f>
        <v>63.510639999999995</v>
      </c>
    </row>
    <row r="120" spans="1:31" x14ac:dyDescent="0.3">
      <c r="A120" s="22"/>
      <c r="C120" s="15"/>
      <c r="D120" s="15"/>
      <c r="E120" s="37"/>
      <c r="F120" s="15"/>
      <c r="G120" s="15"/>
      <c r="H120" s="15"/>
      <c r="I120" s="15"/>
      <c r="J120" s="15"/>
      <c r="K120" s="38"/>
      <c r="L120" s="15"/>
      <c r="M120" s="15"/>
      <c r="N120" s="15"/>
      <c r="O120" s="15"/>
      <c r="Q120" s="22"/>
      <c r="R120" s="22"/>
      <c r="S120" s="1" t="s">
        <v>115</v>
      </c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33">
        <f>(AD117-AD118)/AD117*100</f>
        <v>-1.9920463830784632</v>
      </c>
      <c r="AE120" s="25"/>
    </row>
    <row r="121" spans="1:31" x14ac:dyDescent="0.3">
      <c r="A121" s="22"/>
      <c r="C121" s="15"/>
      <c r="D121" s="15"/>
      <c r="E121" s="37"/>
      <c r="F121" s="15"/>
      <c r="G121" s="15"/>
      <c r="H121" s="15"/>
      <c r="I121" s="15"/>
      <c r="J121" s="15"/>
      <c r="K121" s="38"/>
      <c r="L121" s="15"/>
      <c r="M121" s="15"/>
      <c r="N121" s="15"/>
      <c r="O121" s="15"/>
      <c r="Q121" s="22"/>
      <c r="R121" s="22"/>
      <c r="S121" s="1" t="s">
        <v>103</v>
      </c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33">
        <f>AD117-AD119</f>
        <v>12.268720000000002</v>
      </c>
      <c r="AE121" s="25"/>
    </row>
    <row r="122" spans="1:31" ht="16.2" thickBot="1" x14ac:dyDescent="0.35">
      <c r="A122" s="22"/>
      <c r="B122" s="2" t="s">
        <v>32</v>
      </c>
      <c r="C122" s="15"/>
      <c r="D122" s="15"/>
      <c r="E122" s="40">
        <v>0.44</v>
      </c>
      <c r="F122" s="15">
        <v>0.5</v>
      </c>
      <c r="G122" s="15">
        <v>0.52</v>
      </c>
      <c r="H122" s="15">
        <v>0.48</v>
      </c>
      <c r="I122" s="15">
        <v>0.52</v>
      </c>
      <c r="J122" s="15">
        <v>0.48</v>
      </c>
      <c r="K122" s="41">
        <v>0.52</v>
      </c>
      <c r="L122" s="15"/>
      <c r="M122" s="15"/>
      <c r="N122" s="15"/>
      <c r="O122" s="15"/>
      <c r="P122" s="16"/>
      <c r="Q122" s="22"/>
      <c r="R122" s="22"/>
      <c r="S122" s="2" t="s">
        <v>97</v>
      </c>
      <c r="T122" s="221" t="s">
        <v>141</v>
      </c>
      <c r="U122" s="221"/>
      <c r="V122" s="221"/>
      <c r="W122" s="221"/>
      <c r="X122" s="221"/>
      <c r="Y122" s="221"/>
      <c r="Z122" s="221"/>
      <c r="AA122" s="221"/>
      <c r="AB122" s="221"/>
      <c r="AC122" s="221"/>
      <c r="AD122" s="39"/>
    </row>
    <row r="123" spans="1:31" ht="15.75" customHeight="1" x14ac:dyDescent="0.3">
      <c r="A123" s="216" t="s">
        <v>142</v>
      </c>
      <c r="B123" s="13" t="s">
        <v>98</v>
      </c>
      <c r="C123" s="14"/>
      <c r="D123" s="14"/>
      <c r="E123" s="14"/>
      <c r="F123" s="34">
        <v>3.9489999999999998</v>
      </c>
      <c r="G123" s="14">
        <v>4.6289999999999996</v>
      </c>
      <c r="H123" s="14">
        <v>4.4779999999999998</v>
      </c>
      <c r="I123" s="14">
        <v>4.6630000000000003</v>
      </c>
      <c r="J123" s="14">
        <v>3.2389999999999999</v>
      </c>
      <c r="K123" s="14">
        <v>2.3530000000000002</v>
      </c>
      <c r="L123" s="35">
        <v>2.7989999999999999</v>
      </c>
      <c r="M123" s="14"/>
      <c r="N123" s="15" t="s">
        <v>109</v>
      </c>
      <c r="O123" s="16">
        <f t="shared" ref="O123" si="115">COUNTIF(A123:L123, "&gt;0" )</f>
        <v>7</v>
      </c>
      <c r="Q123" s="216" t="s">
        <v>142</v>
      </c>
      <c r="R123" s="216" t="s">
        <v>2</v>
      </c>
      <c r="S123" s="36" t="s">
        <v>98</v>
      </c>
      <c r="T123" s="18"/>
      <c r="U123" s="18"/>
      <c r="V123" s="18"/>
      <c r="W123" s="18">
        <f t="shared" ref="W123:AC123" si="116">F123*F130</f>
        <v>1.9744999999999999</v>
      </c>
      <c r="X123" s="18">
        <f t="shared" si="116"/>
        <v>2.3144999999999998</v>
      </c>
      <c r="Y123" s="18">
        <f t="shared" si="116"/>
        <v>2.32856</v>
      </c>
      <c r="Z123" s="18">
        <f t="shared" si="116"/>
        <v>2.2382400000000002</v>
      </c>
      <c r="AA123" s="18">
        <f t="shared" si="116"/>
        <v>1.6194999999999999</v>
      </c>
      <c r="AB123" s="18">
        <f t="shared" si="116"/>
        <v>1.1765000000000001</v>
      </c>
      <c r="AC123" s="18">
        <f t="shared" si="116"/>
        <v>1.3995</v>
      </c>
      <c r="AD123" s="33">
        <f>SUM(T123:AC123)</f>
        <v>13.051299999999999</v>
      </c>
      <c r="AE123" s="25"/>
    </row>
    <row r="124" spans="1:31" ht="15.75" customHeight="1" x14ac:dyDescent="0.3">
      <c r="A124" s="217"/>
      <c r="B124" s="2" t="s">
        <v>110</v>
      </c>
      <c r="C124" s="15"/>
      <c r="D124" s="15"/>
      <c r="E124" s="15"/>
      <c r="F124" s="37" t="s">
        <v>140</v>
      </c>
      <c r="G124" s="15" t="s">
        <v>125</v>
      </c>
      <c r="H124" s="15" t="s">
        <v>112</v>
      </c>
      <c r="I124" s="15" t="s">
        <v>112</v>
      </c>
      <c r="J124" s="15" t="s">
        <v>112</v>
      </c>
      <c r="K124" s="15" t="s">
        <v>111</v>
      </c>
      <c r="L124" s="38" t="s">
        <v>111</v>
      </c>
      <c r="M124" s="15"/>
      <c r="N124" s="15" t="s">
        <v>105</v>
      </c>
      <c r="O124" s="15">
        <f t="shared" ref="O124" si="117">COUNTIF(A124:L124,"Cortex")</f>
        <v>2</v>
      </c>
      <c r="Q124" s="217"/>
      <c r="R124" s="217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21"/>
    </row>
    <row r="125" spans="1:31" ht="15.75" customHeight="1" x14ac:dyDescent="0.3">
      <c r="A125" s="217"/>
      <c r="B125" s="2" t="s">
        <v>99</v>
      </c>
      <c r="C125" s="15"/>
      <c r="D125" s="15"/>
      <c r="E125" s="15"/>
      <c r="F125" s="37">
        <v>17.602</v>
      </c>
      <c r="G125" s="15">
        <v>19.515999999999998</v>
      </c>
      <c r="H125" s="15">
        <v>21.355</v>
      </c>
      <c r="I125" s="15">
        <v>23.402999999999999</v>
      </c>
      <c r="J125" s="15">
        <v>24.239000000000001</v>
      </c>
      <c r="K125" s="15">
        <v>25.344000000000001</v>
      </c>
      <c r="L125" s="38">
        <v>26.137</v>
      </c>
      <c r="M125" s="15"/>
      <c r="N125" s="15" t="s">
        <v>106</v>
      </c>
      <c r="O125" s="15">
        <f t="shared" ref="O125" si="118">O123-O124</f>
        <v>5</v>
      </c>
      <c r="Q125" s="217"/>
      <c r="R125" s="217"/>
      <c r="S125" s="2" t="s">
        <v>99</v>
      </c>
      <c r="T125" s="15"/>
      <c r="U125" s="15"/>
      <c r="V125" s="15"/>
      <c r="W125" s="15">
        <f t="shared" ref="W125:AC125" si="119">F125*F130</f>
        <v>8.8010000000000002</v>
      </c>
      <c r="X125" s="15">
        <f t="shared" si="119"/>
        <v>9.7579999999999991</v>
      </c>
      <c r="Y125" s="15">
        <f t="shared" si="119"/>
        <v>11.104600000000001</v>
      </c>
      <c r="Z125" s="15">
        <f t="shared" si="119"/>
        <v>11.233439999999998</v>
      </c>
      <c r="AA125" s="15">
        <f t="shared" si="119"/>
        <v>12.1195</v>
      </c>
      <c r="AB125" s="15">
        <f t="shared" si="119"/>
        <v>12.672000000000001</v>
      </c>
      <c r="AC125" s="15">
        <f t="shared" si="119"/>
        <v>13.0685</v>
      </c>
      <c r="AD125" s="21">
        <f>SUM(T125:AC125)</f>
        <v>78.757040000000003</v>
      </c>
    </row>
    <row r="126" spans="1:31" ht="15.75" customHeight="1" x14ac:dyDescent="0.3">
      <c r="A126" s="217"/>
      <c r="B126" s="2" t="s">
        <v>100</v>
      </c>
      <c r="C126" s="15"/>
      <c r="D126" s="15"/>
      <c r="E126" s="15"/>
      <c r="F126" s="37">
        <v>17.166</v>
      </c>
      <c r="G126" s="15">
        <v>19.731000000000002</v>
      </c>
      <c r="H126" s="15">
        <v>22.332999999999998</v>
      </c>
      <c r="I126" s="15">
        <v>24.408999999999999</v>
      </c>
      <c r="J126" s="15">
        <v>24.759</v>
      </c>
      <c r="K126" s="15">
        <v>26.303999999999998</v>
      </c>
      <c r="L126" s="38">
        <v>26.635000000000002</v>
      </c>
      <c r="M126" s="15"/>
      <c r="N126" s="15" t="s">
        <v>113</v>
      </c>
      <c r="O126" s="16">
        <f t="shared" ref="O126" si="120">COUNTIF(A123:M123, "&gt;=0" )</f>
        <v>7</v>
      </c>
      <c r="Q126" s="217"/>
      <c r="R126" s="217"/>
      <c r="S126" s="2" t="s">
        <v>100</v>
      </c>
      <c r="T126" s="15"/>
      <c r="U126" s="15"/>
      <c r="V126" s="15"/>
      <c r="W126" s="15">
        <f t="shared" ref="W126:AC126" si="121">F126*F130</f>
        <v>8.5830000000000002</v>
      </c>
      <c r="X126" s="15">
        <f t="shared" si="121"/>
        <v>9.8655000000000008</v>
      </c>
      <c r="Y126" s="15">
        <f t="shared" si="121"/>
        <v>11.613159999999999</v>
      </c>
      <c r="Z126" s="15">
        <f t="shared" si="121"/>
        <v>11.71632</v>
      </c>
      <c r="AA126" s="15">
        <f t="shared" si="121"/>
        <v>12.3795</v>
      </c>
      <c r="AB126" s="15">
        <f t="shared" si="121"/>
        <v>13.151999999999999</v>
      </c>
      <c r="AC126" s="15">
        <f t="shared" si="121"/>
        <v>13.317500000000001</v>
      </c>
      <c r="AD126" s="21">
        <f>SUM(T126:AC126)</f>
        <v>80.626979999999989</v>
      </c>
    </row>
    <row r="127" spans="1:31" x14ac:dyDescent="0.3">
      <c r="A127" s="22"/>
      <c r="B127" s="2" t="s">
        <v>114</v>
      </c>
      <c r="C127" s="15"/>
      <c r="D127" s="15"/>
      <c r="E127" s="15"/>
      <c r="F127" s="37">
        <v>13.217000000000001</v>
      </c>
      <c r="G127" s="15">
        <v>15.102000000000002</v>
      </c>
      <c r="H127" s="15">
        <v>17.854999999999997</v>
      </c>
      <c r="I127" s="15">
        <v>19.745999999999999</v>
      </c>
      <c r="J127" s="15">
        <v>21.52</v>
      </c>
      <c r="K127" s="15">
        <v>23.950999999999997</v>
      </c>
      <c r="L127" s="38">
        <v>23.836000000000002</v>
      </c>
      <c r="M127" s="15"/>
      <c r="N127" s="15"/>
      <c r="O127" s="15"/>
      <c r="Q127" s="22"/>
      <c r="R127" s="22"/>
      <c r="S127" s="2" t="s">
        <v>114</v>
      </c>
      <c r="T127" s="15"/>
      <c r="U127" s="15"/>
      <c r="V127" s="15"/>
      <c r="W127" s="15">
        <f t="shared" ref="W127:AC127" si="122">F127*F130</f>
        <v>6.6085000000000003</v>
      </c>
      <c r="X127" s="15">
        <f t="shared" si="122"/>
        <v>7.551000000000001</v>
      </c>
      <c r="Y127" s="15">
        <f t="shared" si="122"/>
        <v>9.2845999999999993</v>
      </c>
      <c r="Z127" s="15">
        <f t="shared" si="122"/>
        <v>9.4780799999999985</v>
      </c>
      <c r="AA127" s="15">
        <f t="shared" si="122"/>
        <v>10.76</v>
      </c>
      <c r="AB127" s="15">
        <f t="shared" si="122"/>
        <v>11.975499999999998</v>
      </c>
      <c r="AC127" s="15">
        <f t="shared" si="122"/>
        <v>11.918000000000001</v>
      </c>
      <c r="AD127" s="21">
        <f>SUM(T127:AC127)</f>
        <v>67.575679999999991</v>
      </c>
    </row>
    <row r="128" spans="1:31" x14ac:dyDescent="0.3">
      <c r="A128" s="22"/>
      <c r="C128" s="15"/>
      <c r="D128" s="15"/>
      <c r="E128" s="15"/>
      <c r="F128" s="37"/>
      <c r="G128" s="15"/>
      <c r="H128" s="15"/>
      <c r="I128" s="15"/>
      <c r="J128" s="15"/>
      <c r="K128" s="15"/>
      <c r="L128" s="38"/>
      <c r="M128" s="15"/>
      <c r="N128" s="15"/>
      <c r="O128" s="15"/>
      <c r="Q128" s="22"/>
      <c r="R128" s="22"/>
      <c r="S128" s="1" t="s">
        <v>115</v>
      </c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33">
        <f>(AD125-AD126)/AD125*100</f>
        <v>-2.3743147279277963</v>
      </c>
      <c r="AE128" s="25"/>
    </row>
    <row r="129" spans="1:31" x14ac:dyDescent="0.3">
      <c r="A129" s="22"/>
      <c r="C129" s="15"/>
      <c r="D129" s="15"/>
      <c r="E129" s="15"/>
      <c r="F129" s="37"/>
      <c r="G129" s="15"/>
      <c r="H129" s="15"/>
      <c r="I129" s="15"/>
      <c r="J129" s="15"/>
      <c r="K129" s="15"/>
      <c r="L129" s="38"/>
      <c r="M129" s="15"/>
      <c r="N129" s="15"/>
      <c r="O129" s="15"/>
      <c r="Q129" s="22"/>
      <c r="R129" s="22"/>
      <c r="S129" s="1" t="s">
        <v>103</v>
      </c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33">
        <f>AD125-AD127</f>
        <v>11.181360000000012</v>
      </c>
      <c r="AE129" s="25"/>
    </row>
    <row r="130" spans="1:31" ht="16.2" thickBot="1" x14ac:dyDescent="0.35">
      <c r="A130" s="22"/>
      <c r="B130" s="2" t="s">
        <v>32</v>
      </c>
      <c r="C130" s="15"/>
      <c r="D130" s="15"/>
      <c r="E130" s="15"/>
      <c r="F130" s="40">
        <v>0.5</v>
      </c>
      <c r="G130" s="15">
        <v>0.5</v>
      </c>
      <c r="H130" s="15">
        <v>0.52</v>
      </c>
      <c r="I130" s="15">
        <v>0.48</v>
      </c>
      <c r="J130" s="15">
        <v>0.5</v>
      </c>
      <c r="K130" s="15">
        <v>0.5</v>
      </c>
      <c r="L130" s="41">
        <v>0.5</v>
      </c>
      <c r="M130" s="15"/>
      <c r="N130" s="15"/>
      <c r="O130" s="15"/>
      <c r="P130" s="16"/>
      <c r="Q130" s="22"/>
      <c r="R130" s="22"/>
      <c r="S130" s="2" t="s">
        <v>97</v>
      </c>
      <c r="T130" s="221" t="s">
        <v>143</v>
      </c>
      <c r="U130" s="221"/>
      <c r="V130" s="221"/>
      <c r="W130" s="221"/>
      <c r="X130" s="221"/>
      <c r="Y130" s="221"/>
      <c r="Z130" s="221"/>
      <c r="AA130" s="221"/>
      <c r="AB130" s="221"/>
      <c r="AC130" s="221"/>
      <c r="AD130" s="39"/>
    </row>
    <row r="131" spans="1:31" ht="15.75" customHeight="1" x14ac:dyDescent="0.3">
      <c r="A131" s="216" t="s">
        <v>144</v>
      </c>
      <c r="B131" s="13" t="s">
        <v>98</v>
      </c>
      <c r="C131" s="14"/>
      <c r="D131" s="14"/>
      <c r="E131" s="34">
        <v>1.361</v>
      </c>
      <c r="F131" s="14">
        <v>3.081</v>
      </c>
      <c r="G131" s="14">
        <v>3.11</v>
      </c>
      <c r="H131" s="14">
        <v>2.7719999999999998</v>
      </c>
      <c r="I131" s="14">
        <v>2.069</v>
      </c>
      <c r="J131" s="14">
        <v>1.865</v>
      </c>
      <c r="K131" s="35">
        <v>0.39700000000000002</v>
      </c>
      <c r="L131" s="14"/>
      <c r="M131" s="14"/>
      <c r="N131" s="15" t="s">
        <v>109</v>
      </c>
      <c r="O131" s="16">
        <f t="shared" ref="O131" si="123">COUNTIF(A131:L131, "&gt;0" )</f>
        <v>7</v>
      </c>
      <c r="Q131" s="216" t="s">
        <v>144</v>
      </c>
      <c r="R131" s="216" t="s">
        <v>2</v>
      </c>
      <c r="S131" s="36" t="s">
        <v>98</v>
      </c>
      <c r="T131" s="18"/>
      <c r="U131" s="18"/>
      <c r="V131" s="18">
        <f t="shared" ref="V131:AB131" si="124">E131*E138</f>
        <v>0.68049999999999999</v>
      </c>
      <c r="W131" s="18">
        <f t="shared" si="124"/>
        <v>1.5405</v>
      </c>
      <c r="X131" s="18">
        <f t="shared" si="124"/>
        <v>1.5549999999999999</v>
      </c>
      <c r="Y131" s="18">
        <f t="shared" si="124"/>
        <v>1.3859999999999999</v>
      </c>
      <c r="Z131" s="18">
        <f t="shared" si="124"/>
        <v>1.0345</v>
      </c>
      <c r="AA131" s="18">
        <f t="shared" si="124"/>
        <v>0.9325</v>
      </c>
      <c r="AB131" s="18">
        <f t="shared" si="124"/>
        <v>0.19850000000000001</v>
      </c>
      <c r="AC131" s="18"/>
      <c r="AD131" s="33">
        <f>SUM(T131:AC131)</f>
        <v>7.3275000000000006</v>
      </c>
      <c r="AE131" s="25"/>
    </row>
    <row r="132" spans="1:31" ht="15.75" customHeight="1" x14ac:dyDescent="0.3">
      <c r="A132" s="217"/>
      <c r="B132" s="2" t="s">
        <v>110</v>
      </c>
      <c r="C132" s="15"/>
      <c r="D132" s="15"/>
      <c r="E132" s="37" t="s">
        <v>145</v>
      </c>
      <c r="F132" s="15" t="s">
        <v>112</v>
      </c>
      <c r="G132" s="15" t="s">
        <v>111</v>
      </c>
      <c r="H132" s="15" t="s">
        <v>112</v>
      </c>
      <c r="I132" s="15" t="s">
        <v>111</v>
      </c>
      <c r="J132" s="15" t="s">
        <v>111</v>
      </c>
      <c r="K132" s="38" t="s">
        <v>111</v>
      </c>
      <c r="L132" s="15"/>
      <c r="M132" s="15"/>
      <c r="N132" s="15" t="s">
        <v>105</v>
      </c>
      <c r="O132" s="15">
        <f t="shared" ref="O132" si="125">COUNTIF(A132:L132,"Cortex")</f>
        <v>4</v>
      </c>
      <c r="Q132" s="217"/>
      <c r="R132" s="217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21"/>
    </row>
    <row r="133" spans="1:31" ht="15.75" customHeight="1" x14ac:dyDescent="0.3">
      <c r="A133" s="217"/>
      <c r="B133" s="2" t="s">
        <v>99</v>
      </c>
      <c r="C133" s="15"/>
      <c r="D133" s="15"/>
      <c r="E133" s="37">
        <v>20.265999999999998</v>
      </c>
      <c r="F133" s="15">
        <v>21.553000000000001</v>
      </c>
      <c r="G133" s="15">
        <v>23.408000000000001</v>
      </c>
      <c r="H133" s="15">
        <v>24.693999999999999</v>
      </c>
      <c r="I133" s="15">
        <v>26.414999999999999</v>
      </c>
      <c r="J133" s="15">
        <v>26.568999999999999</v>
      </c>
      <c r="K133" s="38">
        <v>27.376000000000001</v>
      </c>
      <c r="L133" s="15"/>
      <c r="M133" s="15"/>
      <c r="N133" s="15" t="s">
        <v>106</v>
      </c>
      <c r="O133" s="15">
        <f t="shared" ref="O133" si="126">O131-O132</f>
        <v>3</v>
      </c>
      <c r="Q133" s="217"/>
      <c r="R133" s="217"/>
      <c r="S133" s="2" t="s">
        <v>99</v>
      </c>
      <c r="T133" s="15"/>
      <c r="U133" s="15"/>
      <c r="V133" s="15">
        <f t="shared" ref="V133:AB133" si="127">E133*E138</f>
        <v>10.132999999999999</v>
      </c>
      <c r="W133" s="15">
        <f t="shared" si="127"/>
        <v>10.7765</v>
      </c>
      <c r="X133" s="15">
        <f t="shared" si="127"/>
        <v>11.704000000000001</v>
      </c>
      <c r="Y133" s="15">
        <f t="shared" si="127"/>
        <v>12.347</v>
      </c>
      <c r="Z133" s="15">
        <f t="shared" si="127"/>
        <v>13.2075</v>
      </c>
      <c r="AA133" s="15">
        <f t="shared" si="127"/>
        <v>13.2845</v>
      </c>
      <c r="AB133" s="15">
        <f t="shared" si="127"/>
        <v>13.688000000000001</v>
      </c>
      <c r="AC133" s="15"/>
      <c r="AD133" s="21">
        <f>SUM(T133:AC133)</f>
        <v>85.140500000000003</v>
      </c>
    </row>
    <row r="134" spans="1:31" ht="15.75" customHeight="1" x14ac:dyDescent="0.3">
      <c r="A134" s="217"/>
      <c r="B134" s="2" t="s">
        <v>100</v>
      </c>
      <c r="C134" s="15"/>
      <c r="D134" s="15"/>
      <c r="E134" s="37">
        <v>19.91</v>
      </c>
      <c r="F134" s="15">
        <v>21.599</v>
      </c>
      <c r="G134" s="15">
        <v>22.670999999999999</v>
      </c>
      <c r="H134" s="15">
        <v>23.256</v>
      </c>
      <c r="I134" s="15">
        <v>25.271999999999998</v>
      </c>
      <c r="J134" s="15">
        <v>24.85</v>
      </c>
      <c r="K134" s="38">
        <v>26.065999999999999</v>
      </c>
      <c r="L134" s="15"/>
      <c r="M134" s="15"/>
      <c r="N134" s="15" t="s">
        <v>113</v>
      </c>
      <c r="O134" s="16">
        <f t="shared" ref="O134" si="128">COUNTIF(A131:M131, "&gt;=0" )</f>
        <v>7</v>
      </c>
      <c r="Q134" s="217"/>
      <c r="R134" s="217"/>
      <c r="S134" s="2" t="s">
        <v>100</v>
      </c>
      <c r="T134" s="15"/>
      <c r="U134" s="15"/>
      <c r="V134" s="15">
        <f t="shared" ref="V134:AB134" si="129">E134*E138</f>
        <v>9.9550000000000001</v>
      </c>
      <c r="W134" s="15">
        <f t="shared" si="129"/>
        <v>10.7995</v>
      </c>
      <c r="X134" s="15">
        <f t="shared" si="129"/>
        <v>11.3355</v>
      </c>
      <c r="Y134" s="15">
        <f t="shared" si="129"/>
        <v>11.628</v>
      </c>
      <c r="Z134" s="15">
        <f t="shared" si="129"/>
        <v>12.635999999999999</v>
      </c>
      <c r="AA134" s="15">
        <f t="shared" si="129"/>
        <v>12.425000000000001</v>
      </c>
      <c r="AB134" s="15">
        <f t="shared" si="129"/>
        <v>13.032999999999999</v>
      </c>
      <c r="AC134" s="15"/>
      <c r="AD134" s="21">
        <f>SUM(T134:AC134)</f>
        <v>81.811999999999998</v>
      </c>
    </row>
    <row r="135" spans="1:31" x14ac:dyDescent="0.3">
      <c r="A135" s="22"/>
      <c r="B135" s="2" t="s">
        <v>114</v>
      </c>
      <c r="C135" s="15"/>
      <c r="D135" s="15"/>
      <c r="E135" s="37">
        <v>18.548999999999999</v>
      </c>
      <c r="F135" s="15">
        <v>18.518000000000001</v>
      </c>
      <c r="G135" s="15">
        <v>19.561</v>
      </c>
      <c r="H135" s="15">
        <v>20.484000000000002</v>
      </c>
      <c r="I135" s="15">
        <v>23.202999999999999</v>
      </c>
      <c r="J135" s="15">
        <v>22.985000000000003</v>
      </c>
      <c r="K135" s="38">
        <v>25.669</v>
      </c>
      <c r="L135" s="15"/>
      <c r="M135" s="15"/>
      <c r="N135" s="15"/>
      <c r="O135" s="15"/>
      <c r="Q135" s="22"/>
      <c r="R135" s="22"/>
      <c r="S135" s="2" t="s">
        <v>114</v>
      </c>
      <c r="T135" s="15"/>
      <c r="U135" s="15"/>
      <c r="V135" s="15">
        <f t="shared" ref="V135:AB135" si="130">E135*E138</f>
        <v>9.2744999999999997</v>
      </c>
      <c r="W135" s="15">
        <f t="shared" si="130"/>
        <v>9.2590000000000003</v>
      </c>
      <c r="X135" s="15">
        <f t="shared" si="130"/>
        <v>9.7805</v>
      </c>
      <c r="Y135" s="15">
        <f t="shared" si="130"/>
        <v>10.242000000000001</v>
      </c>
      <c r="Z135" s="15">
        <f t="shared" si="130"/>
        <v>11.6015</v>
      </c>
      <c r="AA135" s="15">
        <f t="shared" si="130"/>
        <v>11.492500000000001</v>
      </c>
      <c r="AB135" s="15">
        <f t="shared" si="130"/>
        <v>12.8345</v>
      </c>
      <c r="AC135" s="15"/>
      <c r="AD135" s="21">
        <f>SUM(T135:AC135)</f>
        <v>74.484499999999997</v>
      </c>
    </row>
    <row r="136" spans="1:31" x14ac:dyDescent="0.3">
      <c r="A136" s="22"/>
      <c r="C136" s="15"/>
      <c r="D136" s="15"/>
      <c r="E136" s="37"/>
      <c r="F136" s="15"/>
      <c r="G136" s="15"/>
      <c r="H136" s="15"/>
      <c r="I136" s="15"/>
      <c r="J136" s="15"/>
      <c r="K136" s="38"/>
      <c r="L136" s="15"/>
      <c r="M136" s="15"/>
      <c r="N136" s="15"/>
      <c r="O136" s="15"/>
      <c r="Q136" s="22"/>
      <c r="R136" s="22"/>
      <c r="S136" s="1" t="s">
        <v>115</v>
      </c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33">
        <f>(AD133-AD134)/AD133*100</f>
        <v>3.9094203111327808</v>
      </c>
      <c r="AE136" s="25"/>
    </row>
    <row r="137" spans="1:31" x14ac:dyDescent="0.3">
      <c r="A137" s="22"/>
      <c r="C137" s="15"/>
      <c r="D137" s="15"/>
      <c r="E137" s="37"/>
      <c r="F137" s="15"/>
      <c r="G137" s="15"/>
      <c r="H137" s="15"/>
      <c r="I137" s="15"/>
      <c r="J137" s="15"/>
      <c r="K137" s="38"/>
      <c r="L137" s="15"/>
      <c r="M137" s="15"/>
      <c r="N137" s="15"/>
      <c r="O137" s="15"/>
      <c r="Q137" s="22"/>
      <c r="R137" s="22"/>
      <c r="S137" s="1" t="s">
        <v>103</v>
      </c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33">
        <f>AD133-AD135</f>
        <v>10.656000000000006</v>
      </c>
      <c r="AE137" s="25"/>
    </row>
    <row r="138" spans="1:31" ht="16.2" thickBot="1" x14ac:dyDescent="0.35">
      <c r="A138" s="22"/>
      <c r="B138" s="2" t="s">
        <v>32</v>
      </c>
      <c r="C138" s="15"/>
      <c r="D138" s="15"/>
      <c r="E138" s="37">
        <v>0.5</v>
      </c>
      <c r="F138" s="15">
        <v>0.5</v>
      </c>
      <c r="G138" s="15">
        <v>0.5</v>
      </c>
      <c r="H138" s="15">
        <v>0.5</v>
      </c>
      <c r="I138" s="15">
        <v>0.5</v>
      </c>
      <c r="J138" s="15">
        <v>0.5</v>
      </c>
      <c r="K138" s="41">
        <v>0.5</v>
      </c>
      <c r="L138" s="15"/>
      <c r="M138" s="15"/>
      <c r="N138" s="15"/>
      <c r="O138" s="15"/>
      <c r="P138" s="16"/>
      <c r="Q138" s="22"/>
      <c r="R138" s="22"/>
      <c r="S138" s="2" t="s">
        <v>97</v>
      </c>
      <c r="T138" s="219"/>
      <c r="U138" s="219"/>
      <c r="V138" s="219"/>
      <c r="W138" s="219"/>
      <c r="X138" s="219"/>
      <c r="Y138" s="219"/>
      <c r="Z138" s="219"/>
      <c r="AA138" s="219"/>
      <c r="AB138" s="219"/>
      <c r="AC138" s="219"/>
      <c r="AD138" s="39"/>
    </row>
    <row r="139" spans="1:31" ht="15.75" customHeight="1" x14ac:dyDescent="0.3">
      <c r="A139" s="216" t="s">
        <v>146</v>
      </c>
      <c r="B139" s="13" t="s">
        <v>98</v>
      </c>
      <c r="C139" s="14"/>
      <c r="D139" s="14"/>
      <c r="E139" s="34">
        <v>0.14099999999999999</v>
      </c>
      <c r="F139" s="14">
        <v>2.5379999999999998</v>
      </c>
      <c r="G139" s="14">
        <v>3.7810000000000001</v>
      </c>
      <c r="H139" s="14">
        <v>3.3380000000000001</v>
      </c>
      <c r="I139" s="14">
        <v>3.081</v>
      </c>
      <c r="J139" s="14">
        <v>1.3260000000000001</v>
      </c>
      <c r="K139" s="35">
        <v>0.48499999999999999</v>
      </c>
      <c r="L139" s="14"/>
      <c r="M139" s="14"/>
      <c r="N139" s="15" t="s">
        <v>109</v>
      </c>
      <c r="O139" s="16">
        <f t="shared" ref="O139" si="131">COUNTIF(A139:L139, "&gt;0" )</f>
        <v>7</v>
      </c>
      <c r="Q139" s="216" t="s">
        <v>146</v>
      </c>
      <c r="R139" s="216" t="s">
        <v>2</v>
      </c>
      <c r="S139" s="36" t="s">
        <v>98</v>
      </c>
      <c r="T139" s="18"/>
      <c r="U139" s="18"/>
      <c r="V139" s="18">
        <f t="shared" ref="V139:AB139" si="132">E139*E146</f>
        <v>7.0499999999999993E-2</v>
      </c>
      <c r="W139" s="18">
        <f t="shared" si="132"/>
        <v>1.31976</v>
      </c>
      <c r="X139" s="18">
        <f t="shared" si="132"/>
        <v>2.1173600000000001</v>
      </c>
      <c r="Y139" s="18">
        <f t="shared" si="132"/>
        <v>1.4019599999999999</v>
      </c>
      <c r="Z139" s="18">
        <f t="shared" si="132"/>
        <v>1.5405</v>
      </c>
      <c r="AA139" s="18">
        <f t="shared" si="132"/>
        <v>0.66300000000000003</v>
      </c>
      <c r="AB139" s="18">
        <f t="shared" si="132"/>
        <v>0.25219999999999998</v>
      </c>
      <c r="AC139" s="18"/>
      <c r="AD139" s="33">
        <f>SUM(T139:AC139)</f>
        <v>7.3652800000000003</v>
      </c>
      <c r="AE139" s="25"/>
    </row>
    <row r="140" spans="1:31" ht="15.75" customHeight="1" x14ac:dyDescent="0.3">
      <c r="A140" s="217"/>
      <c r="B140" s="2" t="s">
        <v>110</v>
      </c>
      <c r="C140" s="15"/>
      <c r="D140" s="15"/>
      <c r="E140" s="37" t="s">
        <v>111</v>
      </c>
      <c r="F140" s="15" t="s">
        <v>111</v>
      </c>
      <c r="G140" s="15" t="s">
        <v>111</v>
      </c>
      <c r="H140" s="15" t="s">
        <v>112</v>
      </c>
      <c r="I140" s="15" t="s">
        <v>112</v>
      </c>
      <c r="J140" s="15" t="s">
        <v>111</v>
      </c>
      <c r="K140" s="38" t="s">
        <v>111</v>
      </c>
      <c r="L140" s="15"/>
      <c r="M140" s="15"/>
      <c r="N140" s="15" t="s">
        <v>105</v>
      </c>
      <c r="O140" s="15">
        <f t="shared" ref="O140" si="133">COUNTIF(A140:L140,"Cortex")</f>
        <v>5</v>
      </c>
      <c r="Q140" s="217"/>
      <c r="R140" s="217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21"/>
    </row>
    <row r="141" spans="1:31" ht="15.75" customHeight="1" x14ac:dyDescent="0.3">
      <c r="A141" s="217"/>
      <c r="B141" s="2" t="s">
        <v>99</v>
      </c>
      <c r="C141" s="15"/>
      <c r="D141" s="15"/>
      <c r="E141" s="37">
        <v>15.619</v>
      </c>
      <c r="F141" s="15">
        <v>19.128</v>
      </c>
      <c r="G141" s="15">
        <v>21.741</v>
      </c>
      <c r="H141" s="15">
        <v>22.617999999999999</v>
      </c>
      <c r="I141" s="15">
        <v>23.221</v>
      </c>
      <c r="J141" s="15">
        <v>24.628</v>
      </c>
      <c r="K141" s="38">
        <v>26.143999999999998</v>
      </c>
      <c r="L141" s="15"/>
      <c r="M141" s="15"/>
      <c r="N141" s="15" t="s">
        <v>106</v>
      </c>
      <c r="O141" s="15">
        <f t="shared" ref="O141" si="134">O139-O140</f>
        <v>2</v>
      </c>
      <c r="Q141" s="217"/>
      <c r="R141" s="217"/>
      <c r="S141" s="2" t="s">
        <v>99</v>
      </c>
      <c r="T141" s="15"/>
      <c r="U141" s="15"/>
      <c r="V141" s="15">
        <f t="shared" ref="V141:AB141" si="135">E141*E146</f>
        <v>7.8094999999999999</v>
      </c>
      <c r="W141" s="15">
        <f t="shared" si="135"/>
        <v>9.9465599999999998</v>
      </c>
      <c r="X141" s="15">
        <f t="shared" si="135"/>
        <v>12.17496</v>
      </c>
      <c r="Y141" s="15">
        <f t="shared" si="135"/>
        <v>9.4995599999999989</v>
      </c>
      <c r="Z141" s="15">
        <f t="shared" si="135"/>
        <v>11.6105</v>
      </c>
      <c r="AA141" s="15">
        <f t="shared" si="135"/>
        <v>12.314</v>
      </c>
      <c r="AB141" s="15">
        <f t="shared" si="135"/>
        <v>13.59488</v>
      </c>
      <c r="AC141" s="15"/>
      <c r="AD141" s="21">
        <f>SUM(T141:AC141)</f>
        <v>76.94995999999999</v>
      </c>
    </row>
    <row r="142" spans="1:31" ht="15.75" customHeight="1" x14ac:dyDescent="0.3">
      <c r="A142" s="217"/>
      <c r="B142" s="2" t="s">
        <v>100</v>
      </c>
      <c r="C142" s="15"/>
      <c r="D142" s="15"/>
      <c r="E142" s="37">
        <v>15.334</v>
      </c>
      <c r="F142" s="15">
        <v>18.553000000000001</v>
      </c>
      <c r="G142" s="15">
        <v>21.893999999999998</v>
      </c>
      <c r="H142" s="15">
        <v>23.795999999999999</v>
      </c>
      <c r="I142" s="15">
        <v>22.616</v>
      </c>
      <c r="J142" s="15">
        <v>25.681999999999999</v>
      </c>
      <c r="K142" s="38">
        <v>26.082000000000001</v>
      </c>
      <c r="L142" s="15"/>
      <c r="M142" s="15"/>
      <c r="N142" s="15" t="s">
        <v>113</v>
      </c>
      <c r="O142" s="16">
        <f t="shared" ref="O142" si="136">COUNTIF(A139:M139, "&gt;=0" )</f>
        <v>7</v>
      </c>
      <c r="Q142" s="217"/>
      <c r="R142" s="217"/>
      <c r="S142" s="2" t="s">
        <v>100</v>
      </c>
      <c r="T142" s="15"/>
      <c r="U142" s="15"/>
      <c r="V142" s="15">
        <f t="shared" ref="V142:AB142" si="137">E142*E146</f>
        <v>7.6669999999999998</v>
      </c>
      <c r="W142" s="15">
        <f t="shared" si="137"/>
        <v>9.6475600000000004</v>
      </c>
      <c r="X142" s="15">
        <f t="shared" si="137"/>
        <v>12.26064</v>
      </c>
      <c r="Y142" s="15">
        <f t="shared" si="137"/>
        <v>9.9943200000000001</v>
      </c>
      <c r="Z142" s="15">
        <f t="shared" si="137"/>
        <v>11.308</v>
      </c>
      <c r="AA142" s="15">
        <f t="shared" si="137"/>
        <v>12.840999999999999</v>
      </c>
      <c r="AB142" s="15">
        <f t="shared" si="137"/>
        <v>13.56264</v>
      </c>
      <c r="AC142" s="15"/>
      <c r="AD142" s="21">
        <f>SUM(T142:AC142)</f>
        <v>77.28116</v>
      </c>
    </row>
    <row r="143" spans="1:31" x14ac:dyDescent="0.3">
      <c r="A143" s="22"/>
      <c r="B143" s="2" t="s">
        <v>114</v>
      </c>
      <c r="C143" s="15"/>
      <c r="D143" s="15"/>
      <c r="E143" s="37">
        <v>15.193</v>
      </c>
      <c r="F143" s="15">
        <v>16.015000000000001</v>
      </c>
      <c r="G143" s="15">
        <v>18.113</v>
      </c>
      <c r="H143" s="15">
        <v>20.457999999999998</v>
      </c>
      <c r="I143" s="15">
        <v>19.535</v>
      </c>
      <c r="J143" s="15">
        <v>24.355999999999998</v>
      </c>
      <c r="K143" s="38">
        <v>25.597000000000001</v>
      </c>
      <c r="L143" s="15"/>
      <c r="M143" s="15"/>
      <c r="N143" s="15"/>
      <c r="O143" s="15"/>
      <c r="Q143" s="22"/>
      <c r="R143" s="22"/>
      <c r="S143" s="2" t="s">
        <v>114</v>
      </c>
      <c r="T143" s="15"/>
      <c r="U143" s="15"/>
      <c r="V143" s="15">
        <f t="shared" ref="V143:AB143" si="138">E143*E146</f>
        <v>7.5964999999999998</v>
      </c>
      <c r="W143" s="15">
        <f t="shared" si="138"/>
        <v>8.3277999999999999</v>
      </c>
      <c r="X143" s="15">
        <f t="shared" si="138"/>
        <v>10.143280000000001</v>
      </c>
      <c r="Y143" s="15">
        <f t="shared" si="138"/>
        <v>8.5923599999999993</v>
      </c>
      <c r="Z143" s="15">
        <f t="shared" si="138"/>
        <v>9.7675000000000001</v>
      </c>
      <c r="AA143" s="15">
        <f t="shared" si="138"/>
        <v>12.177999999999999</v>
      </c>
      <c r="AB143" s="15">
        <f t="shared" si="138"/>
        <v>13.310440000000002</v>
      </c>
      <c r="AC143" s="15"/>
      <c r="AD143" s="21">
        <f>SUM(T143:AC143)</f>
        <v>69.915880000000001</v>
      </c>
    </row>
    <row r="144" spans="1:31" x14ac:dyDescent="0.3">
      <c r="A144" s="22"/>
      <c r="C144" s="15"/>
      <c r="D144" s="15"/>
      <c r="E144" s="37"/>
      <c r="F144" s="15"/>
      <c r="G144" s="15"/>
      <c r="H144" s="15"/>
      <c r="I144" s="15"/>
      <c r="J144" s="15"/>
      <c r="K144" s="38"/>
      <c r="L144" s="15"/>
      <c r="M144" s="15"/>
      <c r="N144" s="15"/>
      <c r="O144" s="15"/>
      <c r="Q144" s="22"/>
      <c r="R144" s="22"/>
      <c r="S144" s="1" t="s">
        <v>115</v>
      </c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33">
        <f>(AD141-AD142)/AD141*100</f>
        <v>-0.43040958045983357</v>
      </c>
      <c r="AE144" s="25"/>
    </row>
    <row r="145" spans="1:31" x14ac:dyDescent="0.3">
      <c r="A145" s="22"/>
      <c r="C145" s="15"/>
      <c r="D145" s="15"/>
      <c r="E145" s="37"/>
      <c r="F145" s="15"/>
      <c r="G145" s="15"/>
      <c r="H145" s="15"/>
      <c r="I145" s="15"/>
      <c r="J145" s="15"/>
      <c r="K145" s="38"/>
      <c r="L145" s="15"/>
      <c r="M145" s="15"/>
      <c r="N145" s="15"/>
      <c r="O145" s="15"/>
      <c r="Q145" s="22"/>
      <c r="R145" s="22"/>
      <c r="S145" s="1" t="s">
        <v>103</v>
      </c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33">
        <f>AD141-AD143</f>
        <v>7.0340799999999888</v>
      </c>
      <c r="AE145" s="25"/>
    </row>
    <row r="146" spans="1:31" ht="16.2" thickBot="1" x14ac:dyDescent="0.35">
      <c r="A146" s="22"/>
      <c r="B146" s="2" t="s">
        <v>32</v>
      </c>
      <c r="C146" s="15"/>
      <c r="D146" s="15"/>
      <c r="E146" s="37">
        <v>0.5</v>
      </c>
      <c r="F146" s="15">
        <v>0.52</v>
      </c>
      <c r="G146" s="15">
        <v>0.56000000000000005</v>
      </c>
      <c r="H146" s="15">
        <v>0.42</v>
      </c>
      <c r="I146" s="15">
        <v>0.5</v>
      </c>
      <c r="J146" s="15">
        <v>0.5</v>
      </c>
      <c r="K146" s="38">
        <v>0.52</v>
      </c>
      <c r="L146" s="15"/>
      <c r="M146" s="15"/>
      <c r="N146" s="15"/>
      <c r="O146" s="15"/>
      <c r="P146" s="16"/>
      <c r="Q146" s="22"/>
      <c r="R146" s="22"/>
      <c r="S146" s="2" t="s">
        <v>97</v>
      </c>
      <c r="T146" s="221" t="s">
        <v>134</v>
      </c>
      <c r="U146" s="221"/>
      <c r="V146" s="221"/>
      <c r="W146" s="221"/>
      <c r="X146" s="221"/>
      <c r="Y146" s="221"/>
      <c r="Z146" s="221"/>
      <c r="AA146" s="221"/>
      <c r="AB146" s="221"/>
      <c r="AC146" s="221"/>
      <c r="AD146" s="39"/>
    </row>
    <row r="147" spans="1:31" ht="15.75" customHeight="1" x14ac:dyDescent="0.3">
      <c r="A147" s="216" t="s">
        <v>147</v>
      </c>
      <c r="B147" s="13" t="s">
        <v>98</v>
      </c>
      <c r="C147" s="14"/>
      <c r="D147" s="14"/>
      <c r="E147" s="34">
        <v>0.13700000000000001</v>
      </c>
      <c r="F147" s="14">
        <v>2.016</v>
      </c>
      <c r="G147" s="14">
        <v>2.7789999999999999</v>
      </c>
      <c r="H147" s="14">
        <v>2.9510000000000001</v>
      </c>
      <c r="I147" s="14">
        <v>2.5510000000000002</v>
      </c>
      <c r="J147" s="14">
        <v>1.8240000000000001</v>
      </c>
      <c r="K147" s="35">
        <v>1.43</v>
      </c>
      <c r="L147" s="14"/>
      <c r="M147" s="14"/>
      <c r="N147" s="15" t="s">
        <v>109</v>
      </c>
      <c r="O147" s="16">
        <f t="shared" ref="O147" si="139">COUNTIF(A147:L147, "&gt;0" )</f>
        <v>7</v>
      </c>
      <c r="Q147" s="216" t="s">
        <v>147</v>
      </c>
      <c r="R147" s="216" t="s">
        <v>2</v>
      </c>
      <c r="S147" s="36" t="s">
        <v>98</v>
      </c>
      <c r="T147" s="18"/>
      <c r="U147" s="18"/>
      <c r="V147" s="18">
        <f t="shared" ref="V147:AB147" si="140">E147*E154</f>
        <v>6.0280000000000007E-2</v>
      </c>
      <c r="W147" s="18">
        <f t="shared" si="140"/>
        <v>1.0886400000000001</v>
      </c>
      <c r="X147" s="18">
        <f t="shared" si="140"/>
        <v>1.27834</v>
      </c>
      <c r="Y147" s="18">
        <f t="shared" si="140"/>
        <v>1.4755</v>
      </c>
      <c r="Z147" s="18">
        <f t="shared" si="140"/>
        <v>1.2755000000000001</v>
      </c>
      <c r="AA147" s="18">
        <f t="shared" si="140"/>
        <v>0.91200000000000003</v>
      </c>
      <c r="AB147" s="18">
        <f t="shared" si="140"/>
        <v>0.71499999999999997</v>
      </c>
      <c r="AC147" s="18"/>
      <c r="AD147" s="33">
        <f>SUM(T147:AC147)</f>
        <v>6.8052600000000005</v>
      </c>
      <c r="AE147" s="25"/>
    </row>
    <row r="148" spans="1:31" ht="15.75" customHeight="1" x14ac:dyDescent="0.3">
      <c r="A148" s="217"/>
      <c r="B148" s="2" t="s">
        <v>110</v>
      </c>
      <c r="C148" s="15"/>
      <c r="D148" s="15"/>
      <c r="E148" s="37" t="s">
        <v>111</v>
      </c>
      <c r="F148" s="15" t="s">
        <v>111</v>
      </c>
      <c r="G148" s="15" t="s">
        <v>111</v>
      </c>
      <c r="H148" s="15" t="s">
        <v>112</v>
      </c>
      <c r="I148" s="15" t="s">
        <v>111</v>
      </c>
      <c r="J148" s="15" t="s">
        <v>112</v>
      </c>
      <c r="K148" s="38" t="s">
        <v>112</v>
      </c>
      <c r="L148" s="15"/>
      <c r="M148" s="15"/>
      <c r="N148" s="15" t="s">
        <v>105</v>
      </c>
      <c r="O148" s="15">
        <f t="shared" ref="O148" si="141">COUNTIF(A148:L148,"Cortex")</f>
        <v>4</v>
      </c>
      <c r="Q148" s="217"/>
      <c r="R148" s="217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21"/>
    </row>
    <row r="149" spans="1:31" ht="15.75" customHeight="1" x14ac:dyDescent="0.3">
      <c r="A149" s="217"/>
      <c r="B149" s="2" t="s">
        <v>99</v>
      </c>
      <c r="C149" s="15"/>
      <c r="D149" s="15"/>
      <c r="E149" s="37">
        <v>17.812000000000001</v>
      </c>
      <c r="F149" s="15">
        <v>22.093</v>
      </c>
      <c r="G149" s="15">
        <v>23.306000000000001</v>
      </c>
      <c r="H149" s="15">
        <v>25.094999999999999</v>
      </c>
      <c r="I149" s="15">
        <v>26.041</v>
      </c>
      <c r="J149" s="15">
        <v>26.007999999999999</v>
      </c>
      <c r="K149" s="38">
        <v>26.428999999999998</v>
      </c>
      <c r="L149" s="15"/>
      <c r="M149" s="15"/>
      <c r="N149" s="15" t="s">
        <v>106</v>
      </c>
      <c r="O149" s="15">
        <f t="shared" ref="O149" si="142">O147-O148</f>
        <v>3</v>
      </c>
      <c r="Q149" s="217"/>
      <c r="R149" s="217"/>
      <c r="S149" s="2" t="s">
        <v>99</v>
      </c>
      <c r="T149" s="15"/>
      <c r="U149" s="15"/>
      <c r="V149" s="15">
        <f t="shared" ref="V149:AB149" si="143">E149*E154</f>
        <v>7.8372800000000007</v>
      </c>
      <c r="W149" s="15">
        <f t="shared" si="143"/>
        <v>11.93022</v>
      </c>
      <c r="X149" s="15">
        <f t="shared" si="143"/>
        <v>10.72076</v>
      </c>
      <c r="Y149" s="15">
        <f t="shared" si="143"/>
        <v>12.547499999999999</v>
      </c>
      <c r="Z149" s="15">
        <f t="shared" si="143"/>
        <v>13.0205</v>
      </c>
      <c r="AA149" s="15">
        <f t="shared" si="143"/>
        <v>13.004</v>
      </c>
      <c r="AB149" s="15">
        <f t="shared" si="143"/>
        <v>13.214499999999999</v>
      </c>
      <c r="AC149" s="15"/>
      <c r="AD149" s="21">
        <f>SUM(T149:AC149)</f>
        <v>82.274760000000001</v>
      </c>
    </row>
    <row r="150" spans="1:31" ht="15.75" customHeight="1" x14ac:dyDescent="0.3">
      <c r="A150" s="217"/>
      <c r="B150" s="2" t="s">
        <v>100</v>
      </c>
      <c r="C150" s="15"/>
      <c r="D150" s="15"/>
      <c r="E150" s="37">
        <v>17.503</v>
      </c>
      <c r="F150" s="15">
        <v>21.213000000000001</v>
      </c>
      <c r="G150" s="15">
        <v>22.234000000000002</v>
      </c>
      <c r="H150" s="15">
        <v>24.29</v>
      </c>
      <c r="I150" s="15">
        <v>25.31</v>
      </c>
      <c r="J150" s="15">
        <v>26.37</v>
      </c>
      <c r="K150" s="38">
        <v>26.866</v>
      </c>
      <c r="L150" s="15"/>
      <c r="M150" s="15"/>
      <c r="N150" s="15" t="s">
        <v>113</v>
      </c>
      <c r="O150" s="16">
        <f t="shared" ref="O150" si="144">COUNTIF(A147:M147, "&gt;=0" )</f>
        <v>7</v>
      </c>
      <c r="Q150" s="217"/>
      <c r="R150" s="217"/>
      <c r="S150" s="2" t="s">
        <v>100</v>
      </c>
      <c r="T150" s="15"/>
      <c r="U150" s="15"/>
      <c r="V150" s="15">
        <f t="shared" ref="V150:AB150" si="145">E150*E154</f>
        <v>7.7013199999999999</v>
      </c>
      <c r="W150" s="15">
        <f t="shared" si="145"/>
        <v>11.455020000000001</v>
      </c>
      <c r="X150" s="15">
        <f t="shared" si="145"/>
        <v>10.227640000000001</v>
      </c>
      <c r="Y150" s="15">
        <f t="shared" si="145"/>
        <v>12.145</v>
      </c>
      <c r="Z150" s="15">
        <f t="shared" si="145"/>
        <v>12.654999999999999</v>
      </c>
      <c r="AA150" s="15">
        <f t="shared" si="145"/>
        <v>13.185</v>
      </c>
      <c r="AB150" s="15">
        <f t="shared" si="145"/>
        <v>13.433</v>
      </c>
      <c r="AC150" s="15"/>
      <c r="AD150" s="21">
        <f>SUM(T150:AC150)</f>
        <v>80.801980000000015</v>
      </c>
    </row>
    <row r="151" spans="1:31" x14ac:dyDescent="0.3">
      <c r="A151" s="22"/>
      <c r="B151" s="2" t="s">
        <v>114</v>
      </c>
      <c r="C151" s="15"/>
      <c r="D151" s="15"/>
      <c r="E151" s="37">
        <v>17.366</v>
      </c>
      <c r="F151" s="15">
        <v>19.197000000000003</v>
      </c>
      <c r="G151" s="15">
        <v>19.455000000000002</v>
      </c>
      <c r="H151" s="15">
        <v>21.338999999999999</v>
      </c>
      <c r="I151" s="15">
        <v>22.759</v>
      </c>
      <c r="J151" s="15">
        <v>24.545999999999999</v>
      </c>
      <c r="K151" s="38">
        <v>25.436</v>
      </c>
      <c r="L151" s="15"/>
      <c r="M151" s="15"/>
      <c r="N151" s="15"/>
      <c r="O151" s="15"/>
      <c r="Q151" s="22"/>
      <c r="R151" s="22"/>
      <c r="S151" s="2" t="s">
        <v>114</v>
      </c>
      <c r="T151" s="15"/>
      <c r="U151" s="15"/>
      <c r="V151" s="15">
        <f t="shared" ref="V151:AB151" si="146">E151*E154</f>
        <v>7.6410400000000003</v>
      </c>
      <c r="W151" s="15">
        <f t="shared" si="146"/>
        <v>10.366380000000003</v>
      </c>
      <c r="X151" s="15">
        <f t="shared" si="146"/>
        <v>8.9493000000000009</v>
      </c>
      <c r="Y151" s="15">
        <f t="shared" si="146"/>
        <v>10.669499999999999</v>
      </c>
      <c r="Z151" s="15">
        <f t="shared" si="146"/>
        <v>11.3795</v>
      </c>
      <c r="AA151" s="15">
        <f t="shared" si="146"/>
        <v>12.273</v>
      </c>
      <c r="AB151" s="15">
        <f t="shared" si="146"/>
        <v>12.718</v>
      </c>
      <c r="AC151" s="15"/>
      <c r="AD151" s="21">
        <f>SUM(T151:AC151)</f>
        <v>73.99672000000001</v>
      </c>
    </row>
    <row r="152" spans="1:31" x14ac:dyDescent="0.3">
      <c r="A152" s="22"/>
      <c r="C152" s="15"/>
      <c r="D152" s="15"/>
      <c r="E152" s="37"/>
      <c r="F152" s="15"/>
      <c r="G152" s="15"/>
      <c r="H152" s="15"/>
      <c r="I152" s="15"/>
      <c r="J152" s="15"/>
      <c r="K152" s="38"/>
      <c r="L152" s="15"/>
      <c r="M152" s="15"/>
      <c r="N152" s="15"/>
      <c r="O152" s="15"/>
      <c r="Q152" s="22"/>
      <c r="R152" s="22"/>
      <c r="S152" s="1" t="s">
        <v>115</v>
      </c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33">
        <f>(AD149-AD150)/AD149*100</f>
        <v>1.7900751093044649</v>
      </c>
      <c r="AE152" s="25"/>
    </row>
    <row r="153" spans="1:31" x14ac:dyDescent="0.3">
      <c r="A153" s="22"/>
      <c r="C153" s="15"/>
      <c r="D153" s="15"/>
      <c r="E153" s="37"/>
      <c r="F153" s="15"/>
      <c r="G153" s="15"/>
      <c r="H153" s="15"/>
      <c r="I153" s="15"/>
      <c r="J153" s="15"/>
      <c r="K153" s="38"/>
      <c r="L153" s="15"/>
      <c r="M153" s="15"/>
      <c r="N153" s="15"/>
      <c r="O153" s="15"/>
      <c r="Q153" s="22"/>
      <c r="R153" s="22"/>
      <c r="S153" s="1" t="s">
        <v>103</v>
      </c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33">
        <f>AD149-AD151</f>
        <v>8.2780399999999901</v>
      </c>
      <c r="AE153" s="25"/>
    </row>
    <row r="154" spans="1:31" ht="16.2" thickBot="1" x14ac:dyDescent="0.35">
      <c r="A154" s="22"/>
      <c r="B154" s="2" t="s">
        <v>32</v>
      </c>
      <c r="C154" s="15"/>
      <c r="D154" s="15"/>
      <c r="E154" s="40">
        <v>0.44</v>
      </c>
      <c r="F154" s="15">
        <v>0.54</v>
      </c>
      <c r="G154" s="15">
        <v>0.46</v>
      </c>
      <c r="H154" s="15">
        <v>0.5</v>
      </c>
      <c r="I154" s="15">
        <v>0.5</v>
      </c>
      <c r="J154" s="15">
        <v>0.5</v>
      </c>
      <c r="K154" s="41">
        <v>0.5</v>
      </c>
      <c r="L154" s="15"/>
      <c r="M154" s="15"/>
      <c r="N154" s="15"/>
      <c r="O154" s="15"/>
      <c r="P154" s="16"/>
      <c r="Q154" s="22"/>
      <c r="R154" s="22"/>
      <c r="S154" s="2" t="s">
        <v>97</v>
      </c>
      <c r="T154" s="219"/>
      <c r="U154" s="219"/>
      <c r="V154" s="219"/>
      <c r="W154" s="219"/>
      <c r="X154" s="219"/>
      <c r="Y154" s="219"/>
      <c r="Z154" s="219"/>
      <c r="AA154" s="219"/>
      <c r="AB154" s="219"/>
      <c r="AC154" s="219"/>
      <c r="AD154" s="39"/>
    </row>
    <row r="155" spans="1:31" ht="15.75" customHeight="1" x14ac:dyDescent="0.3">
      <c r="A155" s="216" t="s">
        <v>148</v>
      </c>
      <c r="B155" s="13" t="s">
        <v>98</v>
      </c>
      <c r="C155" s="14"/>
      <c r="D155" s="14"/>
      <c r="E155" s="14"/>
      <c r="F155" s="34">
        <v>3.5259999999999998</v>
      </c>
      <c r="G155" s="14">
        <v>3.5019999999999998</v>
      </c>
      <c r="H155" s="14">
        <v>3.3119999999999998</v>
      </c>
      <c r="I155" s="14">
        <v>3.5310000000000001</v>
      </c>
      <c r="J155" s="14">
        <v>4.4880000000000004</v>
      </c>
      <c r="K155" s="14">
        <v>3.9239999999999999</v>
      </c>
      <c r="L155" s="35">
        <v>2.1789999999999998</v>
      </c>
      <c r="M155" s="14"/>
      <c r="N155" s="15" t="s">
        <v>109</v>
      </c>
      <c r="O155" s="16">
        <f t="shared" ref="O155" si="147">COUNTIF(A155:L155, "&gt;0" )</f>
        <v>7</v>
      </c>
      <c r="Q155" s="216" t="s">
        <v>148</v>
      </c>
      <c r="R155" s="216" t="s">
        <v>2</v>
      </c>
      <c r="S155" s="36" t="s">
        <v>98</v>
      </c>
      <c r="T155" s="18"/>
      <c r="U155" s="18"/>
      <c r="V155" s="18"/>
      <c r="W155" s="18">
        <f t="shared" ref="W155:AC155" si="148">F155*F162</f>
        <v>1.7629999999999999</v>
      </c>
      <c r="X155" s="18">
        <f t="shared" si="148"/>
        <v>1.82104</v>
      </c>
      <c r="Y155" s="18">
        <f t="shared" si="148"/>
        <v>1.6559999999999999</v>
      </c>
      <c r="Z155" s="18">
        <f t="shared" si="148"/>
        <v>1.6948799999999999</v>
      </c>
      <c r="AA155" s="18">
        <f t="shared" si="148"/>
        <v>2.2440000000000002</v>
      </c>
      <c r="AB155" s="18">
        <f t="shared" si="148"/>
        <v>2.0404800000000001</v>
      </c>
      <c r="AC155" s="18">
        <f t="shared" si="148"/>
        <v>1.0894999999999999</v>
      </c>
      <c r="AD155" s="33">
        <f>SUM(T155:AC155)</f>
        <v>12.3089</v>
      </c>
      <c r="AE155" s="25"/>
    </row>
    <row r="156" spans="1:31" ht="15.75" customHeight="1" x14ac:dyDescent="0.3">
      <c r="A156" s="217"/>
      <c r="B156" s="2" t="s">
        <v>110</v>
      </c>
      <c r="C156" s="15"/>
      <c r="D156" s="15"/>
      <c r="E156" s="15"/>
      <c r="F156" s="37" t="s">
        <v>111</v>
      </c>
      <c r="G156" s="15" t="s">
        <v>136</v>
      </c>
      <c r="H156" s="15" t="s">
        <v>136</v>
      </c>
      <c r="I156" s="15" t="s">
        <v>136</v>
      </c>
      <c r="J156" s="15" t="s">
        <v>136</v>
      </c>
      <c r="K156" s="15" t="s">
        <v>111</v>
      </c>
      <c r="L156" s="38" t="s">
        <v>111</v>
      </c>
      <c r="M156" s="15"/>
      <c r="N156" s="15" t="s">
        <v>105</v>
      </c>
      <c r="O156" s="15">
        <f t="shared" ref="O156" si="149">COUNTIF(A156:L156,"Cortex")</f>
        <v>3</v>
      </c>
      <c r="Q156" s="217"/>
      <c r="R156" s="217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21"/>
    </row>
    <row r="157" spans="1:31" ht="15.75" customHeight="1" x14ac:dyDescent="0.3">
      <c r="A157" s="217"/>
      <c r="B157" s="2" t="s">
        <v>99</v>
      </c>
      <c r="C157" s="15"/>
      <c r="D157" s="15"/>
      <c r="E157" s="15"/>
      <c r="F157" s="37">
        <v>16.736000000000001</v>
      </c>
      <c r="G157" s="15">
        <v>18.224</v>
      </c>
      <c r="H157" s="15">
        <v>20.646000000000001</v>
      </c>
      <c r="I157" s="15">
        <v>22.69</v>
      </c>
      <c r="J157" s="15">
        <v>23.213000000000001</v>
      </c>
      <c r="K157" s="15">
        <v>23.978000000000002</v>
      </c>
      <c r="L157" s="38">
        <v>23.61</v>
      </c>
      <c r="M157" s="15"/>
      <c r="N157" s="15" t="s">
        <v>106</v>
      </c>
      <c r="O157" s="15">
        <f t="shared" ref="O157" si="150">O155-O156</f>
        <v>4</v>
      </c>
      <c r="Q157" s="217"/>
      <c r="R157" s="217"/>
      <c r="S157" s="2" t="s">
        <v>99</v>
      </c>
      <c r="T157" s="15"/>
      <c r="U157" s="15"/>
      <c r="V157" s="15"/>
      <c r="W157" s="15">
        <f t="shared" ref="W157:AC157" si="151">F157*F162</f>
        <v>8.3680000000000003</v>
      </c>
      <c r="X157" s="15">
        <f t="shared" si="151"/>
        <v>9.4764800000000005</v>
      </c>
      <c r="Y157" s="15">
        <f t="shared" si="151"/>
        <v>10.323</v>
      </c>
      <c r="Z157" s="15">
        <f t="shared" si="151"/>
        <v>10.8912</v>
      </c>
      <c r="AA157" s="15">
        <f t="shared" si="151"/>
        <v>11.6065</v>
      </c>
      <c r="AB157" s="15">
        <f t="shared" si="151"/>
        <v>12.468560000000002</v>
      </c>
      <c r="AC157" s="15">
        <f t="shared" si="151"/>
        <v>11.805</v>
      </c>
      <c r="AD157" s="21">
        <f>SUM(T157:AC157)</f>
        <v>74.93874000000001</v>
      </c>
    </row>
    <row r="158" spans="1:31" ht="15.75" customHeight="1" x14ac:dyDescent="0.3">
      <c r="A158" s="217"/>
      <c r="B158" s="2" t="s">
        <v>100</v>
      </c>
      <c r="C158" s="15"/>
      <c r="D158" s="15"/>
      <c r="E158" s="15"/>
      <c r="F158" s="37">
        <v>15.805</v>
      </c>
      <c r="G158" s="15">
        <v>17.803999999999998</v>
      </c>
      <c r="H158" s="15">
        <v>19.72</v>
      </c>
      <c r="I158" s="15">
        <v>22.971</v>
      </c>
      <c r="J158" s="15">
        <v>23.913</v>
      </c>
      <c r="K158" s="15">
        <v>25.106000000000002</v>
      </c>
      <c r="L158" s="38">
        <v>25.388000000000002</v>
      </c>
      <c r="M158" s="15"/>
      <c r="N158" s="15" t="s">
        <v>113</v>
      </c>
      <c r="O158" s="16">
        <f t="shared" ref="O158" si="152">COUNTIF(A155:M155, "&gt;=0" )</f>
        <v>7</v>
      </c>
      <c r="Q158" s="217"/>
      <c r="R158" s="217"/>
      <c r="S158" s="2" t="s">
        <v>100</v>
      </c>
      <c r="T158" s="15"/>
      <c r="U158" s="15"/>
      <c r="V158" s="15"/>
      <c r="W158" s="15">
        <f t="shared" ref="W158:AC158" si="153">F158*F162</f>
        <v>7.9024999999999999</v>
      </c>
      <c r="X158" s="15">
        <f t="shared" si="153"/>
        <v>9.2580799999999996</v>
      </c>
      <c r="Y158" s="15">
        <f t="shared" si="153"/>
        <v>9.86</v>
      </c>
      <c r="Z158" s="15">
        <f t="shared" si="153"/>
        <v>11.02608</v>
      </c>
      <c r="AA158" s="15">
        <f t="shared" si="153"/>
        <v>11.9565</v>
      </c>
      <c r="AB158" s="15">
        <f t="shared" si="153"/>
        <v>13.055120000000001</v>
      </c>
      <c r="AC158" s="15">
        <f t="shared" si="153"/>
        <v>12.694000000000001</v>
      </c>
      <c r="AD158" s="21">
        <f>SUM(T158:AC158)</f>
        <v>75.752279999999999</v>
      </c>
    </row>
    <row r="159" spans="1:31" x14ac:dyDescent="0.3">
      <c r="A159" s="22"/>
      <c r="B159" s="2" t="s">
        <v>114</v>
      </c>
      <c r="C159" s="15"/>
      <c r="D159" s="15"/>
      <c r="E159" s="15"/>
      <c r="F159" s="37">
        <v>12.279</v>
      </c>
      <c r="G159" s="15">
        <v>14.302</v>
      </c>
      <c r="H159" s="15">
        <v>16.407999999999998</v>
      </c>
      <c r="I159" s="15">
        <v>19.440000000000001</v>
      </c>
      <c r="J159" s="15">
        <v>19.425000000000001</v>
      </c>
      <c r="K159" s="15">
        <v>21.182000000000002</v>
      </c>
      <c r="L159" s="38">
        <v>23.209000000000003</v>
      </c>
      <c r="M159" s="15"/>
      <c r="N159" s="15"/>
      <c r="O159" s="15"/>
      <c r="Q159" s="22"/>
      <c r="R159" s="22"/>
      <c r="S159" s="2" t="s">
        <v>114</v>
      </c>
      <c r="T159" s="15"/>
      <c r="U159" s="15"/>
      <c r="V159" s="15"/>
      <c r="W159" s="15">
        <f t="shared" ref="W159:AC159" si="154">F159*F162</f>
        <v>6.1395</v>
      </c>
      <c r="X159" s="15">
        <f t="shared" si="154"/>
        <v>7.4370399999999997</v>
      </c>
      <c r="Y159" s="15">
        <f t="shared" si="154"/>
        <v>8.2039999999999988</v>
      </c>
      <c r="Z159" s="15">
        <f t="shared" si="154"/>
        <v>9.3312000000000008</v>
      </c>
      <c r="AA159" s="15">
        <f t="shared" si="154"/>
        <v>9.7125000000000004</v>
      </c>
      <c r="AB159" s="15">
        <f t="shared" si="154"/>
        <v>11.014640000000002</v>
      </c>
      <c r="AC159" s="15">
        <f t="shared" si="154"/>
        <v>11.604500000000002</v>
      </c>
      <c r="AD159" s="21">
        <f>SUM(T159:AC159)</f>
        <v>63.443379999999998</v>
      </c>
    </row>
    <row r="160" spans="1:31" x14ac:dyDescent="0.3">
      <c r="A160" s="22"/>
      <c r="C160" s="15"/>
      <c r="D160" s="15"/>
      <c r="E160" s="15"/>
      <c r="F160" s="37"/>
      <c r="G160" s="15"/>
      <c r="H160" s="15"/>
      <c r="I160" s="15"/>
      <c r="J160" s="15"/>
      <c r="K160" s="15"/>
      <c r="L160" s="38"/>
      <c r="M160" s="15"/>
      <c r="N160" s="15"/>
      <c r="O160" s="15"/>
      <c r="Q160" s="22"/>
      <c r="R160" s="22"/>
      <c r="S160" s="1" t="s">
        <v>115</v>
      </c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33">
        <f>(AD157-AD158)/AD157*100</f>
        <v>-1.0856067235717988</v>
      </c>
      <c r="AE160" s="25"/>
    </row>
    <row r="161" spans="1:31" x14ac:dyDescent="0.3">
      <c r="A161" s="22"/>
      <c r="C161" s="15"/>
      <c r="D161" s="15"/>
      <c r="E161" s="15"/>
      <c r="F161" s="37"/>
      <c r="G161" s="15"/>
      <c r="H161" s="15"/>
      <c r="I161" s="15"/>
      <c r="J161" s="15"/>
      <c r="K161" s="15"/>
      <c r="L161" s="38"/>
      <c r="M161" s="15"/>
      <c r="N161" s="15"/>
      <c r="O161" s="15"/>
      <c r="Q161" s="22"/>
      <c r="R161" s="22"/>
      <c r="S161" s="1" t="s">
        <v>103</v>
      </c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33">
        <f>AD157-AD159</f>
        <v>11.495360000000012</v>
      </c>
      <c r="AE161" s="25"/>
    </row>
    <row r="162" spans="1:31" ht="16.2" thickBot="1" x14ac:dyDescent="0.35">
      <c r="A162" s="22"/>
      <c r="B162" s="2" t="s">
        <v>32</v>
      </c>
      <c r="C162" s="15"/>
      <c r="D162" s="15"/>
      <c r="E162" s="15"/>
      <c r="F162" s="40">
        <v>0.5</v>
      </c>
      <c r="G162" s="15">
        <v>0.52</v>
      </c>
      <c r="H162" s="15">
        <v>0.5</v>
      </c>
      <c r="I162" s="15">
        <v>0.48</v>
      </c>
      <c r="J162" s="15">
        <v>0.5</v>
      </c>
      <c r="K162" s="15">
        <v>0.52</v>
      </c>
      <c r="L162" s="41">
        <v>0.5</v>
      </c>
      <c r="M162" s="15"/>
      <c r="N162" s="15"/>
      <c r="O162" s="15"/>
      <c r="P162" s="16"/>
      <c r="Q162" s="22"/>
      <c r="R162" s="22"/>
      <c r="S162" s="2" t="s">
        <v>97</v>
      </c>
      <c r="T162" s="219"/>
      <c r="U162" s="219"/>
      <c r="V162" s="219"/>
      <c r="W162" s="219"/>
      <c r="X162" s="219"/>
      <c r="Y162" s="219"/>
      <c r="Z162" s="219"/>
      <c r="AA162" s="219"/>
      <c r="AB162" s="219"/>
      <c r="AC162" s="219"/>
      <c r="AD162" s="39"/>
    </row>
    <row r="163" spans="1:31" ht="15.75" customHeight="1" x14ac:dyDescent="0.3">
      <c r="A163" s="216" t="s">
        <v>149</v>
      </c>
      <c r="B163" s="13" t="s">
        <v>98</v>
      </c>
      <c r="C163" s="14"/>
      <c r="D163" s="14"/>
      <c r="E163" s="34">
        <v>2.7749999999999999</v>
      </c>
      <c r="F163" s="14">
        <v>2.7610000000000001</v>
      </c>
      <c r="G163" s="14">
        <v>3.44</v>
      </c>
      <c r="H163" s="14">
        <v>3.8809999999999998</v>
      </c>
      <c r="I163" s="14">
        <v>2.0680000000000001</v>
      </c>
      <c r="J163" s="14">
        <v>1.857</v>
      </c>
      <c r="K163" s="35">
        <v>0.876</v>
      </c>
      <c r="L163" s="14"/>
      <c r="M163" s="14"/>
      <c r="N163" s="15" t="s">
        <v>109</v>
      </c>
      <c r="O163" s="16">
        <f t="shared" ref="O163" si="155">COUNTIF(A163:L163, "&gt;0" )</f>
        <v>7</v>
      </c>
      <c r="Q163" s="216" t="s">
        <v>149</v>
      </c>
      <c r="R163" s="216" t="s">
        <v>2</v>
      </c>
      <c r="S163" s="36" t="s">
        <v>98</v>
      </c>
      <c r="T163" s="18"/>
      <c r="U163" s="18"/>
      <c r="V163" s="18">
        <f t="shared" ref="V163:AB163" si="156">E163*E170</f>
        <v>1.4430000000000001</v>
      </c>
      <c r="W163" s="18">
        <f t="shared" si="156"/>
        <v>1.3805000000000001</v>
      </c>
      <c r="X163" s="18">
        <f t="shared" si="156"/>
        <v>1.7887999999999999</v>
      </c>
      <c r="Y163" s="18">
        <f t="shared" si="156"/>
        <v>1.7852600000000001</v>
      </c>
      <c r="Z163" s="18">
        <f t="shared" si="156"/>
        <v>1.034</v>
      </c>
      <c r="AA163" s="18">
        <f t="shared" si="156"/>
        <v>0.96564000000000005</v>
      </c>
      <c r="AB163" s="18">
        <f t="shared" si="156"/>
        <v>0.42047999999999996</v>
      </c>
      <c r="AC163" s="18"/>
      <c r="AD163" s="33">
        <f>SUM(T163:AC163)</f>
        <v>8.8176799999999993</v>
      </c>
      <c r="AE163" s="25"/>
    </row>
    <row r="164" spans="1:31" ht="15.75" customHeight="1" x14ac:dyDescent="0.3">
      <c r="A164" s="217"/>
      <c r="B164" s="2" t="s">
        <v>110</v>
      </c>
      <c r="C164" s="15"/>
      <c r="D164" s="15"/>
      <c r="E164" s="37" t="s">
        <v>112</v>
      </c>
      <c r="F164" s="15" t="s">
        <v>112</v>
      </c>
      <c r="G164" s="15" t="s">
        <v>131</v>
      </c>
      <c r="H164" s="15" t="s">
        <v>112</v>
      </c>
      <c r="I164" s="15" t="s">
        <v>112</v>
      </c>
      <c r="J164" s="15" t="s">
        <v>111</v>
      </c>
      <c r="K164" s="38" t="s">
        <v>111</v>
      </c>
      <c r="L164" s="15"/>
      <c r="M164" s="15"/>
      <c r="N164" s="15" t="s">
        <v>105</v>
      </c>
      <c r="O164" s="15">
        <f t="shared" ref="O164" si="157">COUNTIF(A164:L164,"Cortex")</f>
        <v>2</v>
      </c>
      <c r="Q164" s="217"/>
      <c r="R164" s="217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21"/>
    </row>
    <row r="165" spans="1:31" ht="15.75" customHeight="1" x14ac:dyDescent="0.3">
      <c r="A165" s="217"/>
      <c r="B165" s="2" t="s">
        <v>99</v>
      </c>
      <c r="C165" s="15"/>
      <c r="D165" s="15"/>
      <c r="E165" s="37">
        <v>16.876999999999999</v>
      </c>
      <c r="F165" s="15">
        <v>18.18</v>
      </c>
      <c r="G165" s="15">
        <v>21.47</v>
      </c>
      <c r="H165" s="15">
        <v>22.48</v>
      </c>
      <c r="I165" s="15">
        <v>23.01</v>
      </c>
      <c r="J165" s="15">
        <v>24.561</v>
      </c>
      <c r="K165" s="38">
        <v>23.618000000000002</v>
      </c>
      <c r="L165" s="15"/>
      <c r="M165" s="15"/>
      <c r="N165" s="15" t="s">
        <v>106</v>
      </c>
      <c r="O165" s="15">
        <f t="shared" ref="O165" si="158">O163-O164</f>
        <v>5</v>
      </c>
      <c r="Q165" s="217"/>
      <c r="R165" s="217"/>
      <c r="S165" s="2" t="s">
        <v>99</v>
      </c>
      <c r="T165" s="15"/>
      <c r="U165" s="15"/>
      <c r="V165" s="15">
        <f t="shared" ref="V165:AB165" si="159">E165*E170</f>
        <v>8.7760400000000001</v>
      </c>
      <c r="W165" s="15">
        <f t="shared" si="159"/>
        <v>9.09</v>
      </c>
      <c r="X165" s="15">
        <f t="shared" si="159"/>
        <v>11.164400000000001</v>
      </c>
      <c r="Y165" s="15">
        <f t="shared" si="159"/>
        <v>10.3408</v>
      </c>
      <c r="Z165" s="15">
        <f t="shared" si="159"/>
        <v>11.505000000000001</v>
      </c>
      <c r="AA165" s="15">
        <f t="shared" si="159"/>
        <v>12.77172</v>
      </c>
      <c r="AB165" s="15">
        <f t="shared" si="159"/>
        <v>11.336640000000001</v>
      </c>
      <c r="AC165" s="15"/>
      <c r="AD165" s="21">
        <f>SUM(T165:AC165)</f>
        <v>74.9846</v>
      </c>
    </row>
    <row r="166" spans="1:31" ht="15.75" customHeight="1" x14ac:dyDescent="0.3">
      <c r="A166" s="217"/>
      <c r="B166" s="2" t="s">
        <v>100</v>
      </c>
      <c r="C166" s="15"/>
      <c r="D166" s="15"/>
      <c r="E166" s="37">
        <v>15.43</v>
      </c>
      <c r="F166" s="15">
        <v>17.579000000000001</v>
      </c>
      <c r="G166" s="15">
        <v>19.442</v>
      </c>
      <c r="H166" s="15">
        <v>21.412000000000003</v>
      </c>
      <c r="I166" s="15">
        <v>22.533000000000001</v>
      </c>
      <c r="J166" s="15">
        <v>23.932000000000002</v>
      </c>
      <c r="K166" s="38">
        <v>25.166</v>
      </c>
      <c r="L166" s="15"/>
      <c r="M166" s="15"/>
      <c r="N166" s="15" t="s">
        <v>113</v>
      </c>
      <c r="O166" s="16">
        <f t="shared" ref="O166" si="160">COUNTIF(A163:M163, "&gt;=0" )</f>
        <v>7</v>
      </c>
      <c r="Q166" s="217"/>
      <c r="R166" s="217"/>
      <c r="S166" s="2" t="s">
        <v>100</v>
      </c>
      <c r="T166" s="15"/>
      <c r="U166" s="15"/>
      <c r="V166" s="15">
        <f t="shared" ref="V166:AB166" si="161">E166*E170</f>
        <v>8.0236000000000001</v>
      </c>
      <c r="W166" s="15">
        <f t="shared" si="161"/>
        <v>8.7895000000000003</v>
      </c>
      <c r="X166" s="15">
        <f t="shared" si="161"/>
        <v>10.10984</v>
      </c>
      <c r="Y166" s="15">
        <f t="shared" si="161"/>
        <v>9.8495200000000018</v>
      </c>
      <c r="Z166" s="15">
        <f t="shared" si="161"/>
        <v>11.266500000000001</v>
      </c>
      <c r="AA166" s="15">
        <f t="shared" si="161"/>
        <v>12.444640000000001</v>
      </c>
      <c r="AB166" s="15">
        <f t="shared" si="161"/>
        <v>12.07968</v>
      </c>
      <c r="AC166" s="15"/>
      <c r="AD166" s="21">
        <f>SUM(T166:AC166)</f>
        <v>72.563279999999992</v>
      </c>
    </row>
    <row r="167" spans="1:31" x14ac:dyDescent="0.3">
      <c r="A167" s="22"/>
      <c r="B167" s="2" t="s">
        <v>114</v>
      </c>
      <c r="C167" s="15"/>
      <c r="D167" s="15"/>
      <c r="E167" s="37">
        <v>12.654999999999999</v>
      </c>
      <c r="F167" s="15">
        <v>14.818000000000001</v>
      </c>
      <c r="G167" s="15">
        <v>16.001999999999999</v>
      </c>
      <c r="H167" s="15">
        <v>17.531000000000002</v>
      </c>
      <c r="I167" s="15">
        <v>20.465</v>
      </c>
      <c r="J167" s="15">
        <v>22.075000000000003</v>
      </c>
      <c r="K167" s="38">
        <v>24.29</v>
      </c>
      <c r="L167" s="15"/>
      <c r="M167" s="15"/>
      <c r="N167" s="15"/>
      <c r="O167" s="15"/>
      <c r="Q167" s="22"/>
      <c r="R167" s="22"/>
      <c r="S167" s="2" t="s">
        <v>114</v>
      </c>
      <c r="T167" s="15"/>
      <c r="U167" s="15"/>
      <c r="V167" s="15">
        <f t="shared" ref="V167:AB167" si="162">E167*E170</f>
        <v>6.5805999999999996</v>
      </c>
      <c r="W167" s="15">
        <f t="shared" si="162"/>
        <v>7.4090000000000007</v>
      </c>
      <c r="X167" s="15">
        <f t="shared" si="162"/>
        <v>8.32104</v>
      </c>
      <c r="Y167" s="15">
        <f t="shared" si="162"/>
        <v>8.0642600000000009</v>
      </c>
      <c r="Z167" s="15">
        <f t="shared" si="162"/>
        <v>10.2325</v>
      </c>
      <c r="AA167" s="15">
        <f t="shared" si="162"/>
        <v>11.479000000000003</v>
      </c>
      <c r="AB167" s="15">
        <f t="shared" si="162"/>
        <v>11.659199999999998</v>
      </c>
      <c r="AC167" s="15"/>
      <c r="AD167" s="21">
        <f>SUM(T167:AC167)</f>
        <v>63.745599999999996</v>
      </c>
    </row>
    <row r="168" spans="1:31" x14ac:dyDescent="0.3">
      <c r="A168" s="22"/>
      <c r="C168" s="15"/>
      <c r="D168" s="15"/>
      <c r="E168" s="37"/>
      <c r="F168" s="15"/>
      <c r="G168" s="15"/>
      <c r="H168" s="15"/>
      <c r="I168" s="15"/>
      <c r="J168" s="15"/>
      <c r="K168" s="38"/>
      <c r="L168" s="15"/>
      <c r="M168" s="15"/>
      <c r="N168" s="15"/>
      <c r="O168" s="15"/>
      <c r="Q168" s="22"/>
      <c r="R168" s="22"/>
      <c r="S168" s="1" t="s">
        <v>115</v>
      </c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33">
        <f>(AD165-AD166)/AD165*100</f>
        <v>3.2290897064197299</v>
      </c>
      <c r="AE168" s="25"/>
    </row>
    <row r="169" spans="1:31" x14ac:dyDescent="0.3">
      <c r="A169" s="22"/>
      <c r="C169" s="15"/>
      <c r="D169" s="15"/>
      <c r="E169" s="37"/>
      <c r="F169" s="15"/>
      <c r="G169" s="15"/>
      <c r="H169" s="15"/>
      <c r="I169" s="15"/>
      <c r="J169" s="15"/>
      <c r="K169" s="38"/>
      <c r="L169" s="15"/>
      <c r="M169" s="15"/>
      <c r="N169" s="15"/>
      <c r="O169" s="15"/>
      <c r="Q169" s="22"/>
      <c r="R169" s="22"/>
      <c r="S169" s="1" t="s">
        <v>103</v>
      </c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33">
        <f>AD165-AD167</f>
        <v>11.239000000000004</v>
      </c>
      <c r="AE169" s="25"/>
    </row>
    <row r="170" spans="1:31" ht="16.2" thickBot="1" x14ac:dyDescent="0.35">
      <c r="A170" s="22"/>
      <c r="B170" s="2" t="s">
        <v>32</v>
      </c>
      <c r="C170" s="15"/>
      <c r="D170" s="15"/>
      <c r="E170" s="40">
        <v>0.52</v>
      </c>
      <c r="F170" s="15">
        <v>0.5</v>
      </c>
      <c r="G170" s="15">
        <v>0.52</v>
      </c>
      <c r="H170" s="15">
        <v>0.46</v>
      </c>
      <c r="I170" s="15">
        <v>0.5</v>
      </c>
      <c r="J170" s="15">
        <v>0.52</v>
      </c>
      <c r="K170" s="41">
        <v>0.48</v>
      </c>
      <c r="L170" s="15"/>
      <c r="M170" s="15"/>
      <c r="N170" s="15"/>
      <c r="O170" s="15"/>
      <c r="P170" s="16"/>
      <c r="Q170" s="22"/>
      <c r="R170" s="22"/>
      <c r="S170" s="2" t="s">
        <v>97</v>
      </c>
      <c r="T170" s="219"/>
      <c r="U170" s="219"/>
      <c r="V170" s="219"/>
      <c r="W170" s="219"/>
      <c r="X170" s="219"/>
      <c r="Y170" s="219"/>
      <c r="Z170" s="219"/>
      <c r="AA170" s="219"/>
      <c r="AB170" s="219"/>
      <c r="AC170" s="219"/>
      <c r="AD170" s="39"/>
    </row>
    <row r="171" spans="1:31" ht="15.75" customHeight="1" x14ac:dyDescent="0.3">
      <c r="A171" s="216" t="s">
        <v>150</v>
      </c>
      <c r="B171" s="13" t="s">
        <v>98</v>
      </c>
      <c r="C171" s="14"/>
      <c r="D171" s="34">
        <v>0</v>
      </c>
      <c r="E171" s="14">
        <v>1.7810000000000001</v>
      </c>
      <c r="F171" s="14">
        <v>1.663</v>
      </c>
      <c r="G171" s="14">
        <v>2.7040000000000002</v>
      </c>
      <c r="H171" s="14">
        <v>1.706</v>
      </c>
      <c r="I171" s="14">
        <v>1.9750000000000001</v>
      </c>
      <c r="J171" s="35">
        <v>2.121</v>
      </c>
      <c r="K171" s="14"/>
      <c r="L171" s="14"/>
      <c r="M171" s="14"/>
      <c r="N171" s="15" t="s">
        <v>109</v>
      </c>
      <c r="O171" s="16">
        <f t="shared" ref="O171" si="163">COUNTIF(A171:L171, "&gt;0" )</f>
        <v>6</v>
      </c>
      <c r="Q171" s="216" t="s">
        <v>150</v>
      </c>
      <c r="R171" s="216" t="s">
        <v>2</v>
      </c>
      <c r="S171" s="36" t="s">
        <v>98</v>
      </c>
      <c r="T171" s="18"/>
      <c r="U171" s="18">
        <f t="shared" ref="U171:AA171" si="164">D171*D178</f>
        <v>0</v>
      </c>
      <c r="V171" s="18">
        <f t="shared" si="164"/>
        <v>0.89050000000000007</v>
      </c>
      <c r="W171" s="18">
        <f t="shared" si="164"/>
        <v>0.86476000000000008</v>
      </c>
      <c r="X171" s="18">
        <f t="shared" si="164"/>
        <v>1.29792</v>
      </c>
      <c r="Y171" s="18">
        <f t="shared" si="164"/>
        <v>0.85299999999999998</v>
      </c>
      <c r="Z171" s="18">
        <f t="shared" si="164"/>
        <v>0.98750000000000004</v>
      </c>
      <c r="AA171" s="18">
        <f t="shared" si="164"/>
        <v>1.0605</v>
      </c>
      <c r="AB171" s="18"/>
      <c r="AC171" s="18"/>
      <c r="AD171" s="33">
        <f>SUM(T171:AC171)</f>
        <v>5.95418</v>
      </c>
      <c r="AE171" s="25"/>
    </row>
    <row r="172" spans="1:31" ht="15.75" customHeight="1" x14ac:dyDescent="0.3">
      <c r="A172" s="217"/>
      <c r="B172" s="2" t="s">
        <v>110</v>
      </c>
      <c r="C172" s="15"/>
      <c r="D172" s="37"/>
      <c r="E172" s="15" t="s">
        <v>111</v>
      </c>
      <c r="F172" s="15" t="s">
        <v>111</v>
      </c>
      <c r="G172" s="15" t="s">
        <v>111</v>
      </c>
      <c r="H172" s="15" t="s">
        <v>111</v>
      </c>
      <c r="I172" s="15" t="s">
        <v>111</v>
      </c>
      <c r="J172" s="38" t="s">
        <v>111</v>
      </c>
      <c r="K172" s="15"/>
      <c r="L172" s="15"/>
      <c r="M172" s="15"/>
      <c r="N172" s="15" t="s">
        <v>105</v>
      </c>
      <c r="O172" s="15">
        <f t="shared" ref="O172" si="165">COUNTIF(A172:L172,"Cortex")</f>
        <v>6</v>
      </c>
      <c r="Q172" s="217"/>
      <c r="R172" s="217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21"/>
    </row>
    <row r="173" spans="1:31" ht="15.75" customHeight="1" x14ac:dyDescent="0.3">
      <c r="A173" s="217"/>
      <c r="B173" s="2" t="s">
        <v>99</v>
      </c>
      <c r="C173" s="15"/>
      <c r="D173" s="37">
        <v>17.721</v>
      </c>
      <c r="E173" s="15">
        <v>19.706</v>
      </c>
      <c r="F173" s="15">
        <v>22.501999999999999</v>
      </c>
      <c r="G173" s="15">
        <v>24.245000000000001</v>
      </c>
      <c r="H173" s="15">
        <v>25.195</v>
      </c>
      <c r="I173" s="15">
        <v>25.998000000000001</v>
      </c>
      <c r="J173" s="38">
        <v>25.343</v>
      </c>
      <c r="K173" s="15"/>
      <c r="L173" s="15"/>
      <c r="M173" s="15"/>
      <c r="N173" s="15" t="s">
        <v>106</v>
      </c>
      <c r="O173" s="15">
        <f t="shared" ref="O173" si="166">O171-O172</f>
        <v>0</v>
      </c>
      <c r="Q173" s="217"/>
      <c r="R173" s="217"/>
      <c r="S173" s="2" t="s">
        <v>99</v>
      </c>
      <c r="T173" s="15"/>
      <c r="U173" s="15">
        <f t="shared" ref="U173:AA173" si="167">D173*D178</f>
        <v>8.8605</v>
      </c>
      <c r="V173" s="15">
        <f t="shared" si="167"/>
        <v>9.8529999999999998</v>
      </c>
      <c r="W173" s="15">
        <f t="shared" si="167"/>
        <v>11.701039999999999</v>
      </c>
      <c r="X173" s="15">
        <f t="shared" si="167"/>
        <v>11.637600000000001</v>
      </c>
      <c r="Y173" s="15">
        <f t="shared" si="167"/>
        <v>12.5975</v>
      </c>
      <c r="Z173" s="15">
        <f t="shared" si="167"/>
        <v>12.999000000000001</v>
      </c>
      <c r="AA173" s="15">
        <f t="shared" si="167"/>
        <v>12.6715</v>
      </c>
      <c r="AB173" s="15"/>
      <c r="AC173" s="15"/>
      <c r="AD173" s="21">
        <f>SUM(T173:AC173)</f>
        <v>80.320139999999995</v>
      </c>
    </row>
    <row r="174" spans="1:31" ht="15.75" customHeight="1" x14ac:dyDescent="0.3">
      <c r="A174" s="217"/>
      <c r="B174" s="2" t="s">
        <v>100</v>
      </c>
      <c r="C174" s="15"/>
      <c r="D174" s="37">
        <v>18.003</v>
      </c>
      <c r="E174" s="15">
        <v>20.562000000000001</v>
      </c>
      <c r="F174" s="15">
        <v>22.434999999999999</v>
      </c>
      <c r="G174" s="15">
        <v>24.283999999999999</v>
      </c>
      <c r="H174" s="15">
        <v>24.911000000000001</v>
      </c>
      <c r="I174" s="15">
        <v>25.413999999999998</v>
      </c>
      <c r="J174" s="38">
        <v>25.084</v>
      </c>
      <c r="K174" s="15"/>
      <c r="L174" s="15"/>
      <c r="M174" s="15"/>
      <c r="N174" s="15" t="s">
        <v>113</v>
      </c>
      <c r="O174" s="16">
        <f t="shared" ref="O174" si="168">COUNTIF(A171:M171, "&gt;=0" )</f>
        <v>7</v>
      </c>
      <c r="Q174" s="217"/>
      <c r="R174" s="217"/>
      <c r="S174" s="2" t="s">
        <v>100</v>
      </c>
      <c r="T174" s="15"/>
      <c r="U174" s="15">
        <f t="shared" ref="U174:AA174" si="169">D174*D178</f>
        <v>9.0015000000000001</v>
      </c>
      <c r="V174" s="15">
        <f t="shared" si="169"/>
        <v>10.281000000000001</v>
      </c>
      <c r="W174" s="15">
        <f t="shared" si="169"/>
        <v>11.6662</v>
      </c>
      <c r="X174" s="15">
        <f t="shared" si="169"/>
        <v>11.656319999999999</v>
      </c>
      <c r="Y174" s="15">
        <f t="shared" si="169"/>
        <v>12.455500000000001</v>
      </c>
      <c r="Z174" s="15">
        <f t="shared" si="169"/>
        <v>12.706999999999999</v>
      </c>
      <c r="AA174" s="15">
        <f t="shared" si="169"/>
        <v>12.542</v>
      </c>
      <c r="AB174" s="15"/>
      <c r="AC174" s="15"/>
      <c r="AD174" s="21">
        <f>SUM(T174:AC174)</f>
        <v>80.309519999999992</v>
      </c>
    </row>
    <row r="175" spans="1:31" x14ac:dyDescent="0.3">
      <c r="A175" s="22"/>
      <c r="B175" s="2" t="s">
        <v>114</v>
      </c>
      <c r="C175" s="15"/>
      <c r="D175" s="37">
        <v>18.003</v>
      </c>
      <c r="E175" s="15">
        <v>18.781000000000002</v>
      </c>
      <c r="F175" s="15">
        <v>20.771999999999998</v>
      </c>
      <c r="G175" s="15">
        <v>21.58</v>
      </c>
      <c r="H175" s="15">
        <v>23.205000000000002</v>
      </c>
      <c r="I175" s="15">
        <v>23.438999999999997</v>
      </c>
      <c r="J175" s="38">
        <v>22.963000000000001</v>
      </c>
      <c r="K175" s="15"/>
      <c r="L175" s="15"/>
      <c r="M175" s="15"/>
      <c r="N175" s="15"/>
      <c r="O175" s="15"/>
      <c r="Q175" s="22"/>
      <c r="R175" s="22"/>
      <c r="S175" s="2" t="s">
        <v>114</v>
      </c>
      <c r="T175" s="15"/>
      <c r="U175" s="15">
        <f t="shared" ref="U175:AA175" si="170">D175*D178</f>
        <v>9.0015000000000001</v>
      </c>
      <c r="V175" s="15">
        <f t="shared" si="170"/>
        <v>9.3905000000000012</v>
      </c>
      <c r="W175" s="15">
        <f t="shared" si="170"/>
        <v>10.801439999999999</v>
      </c>
      <c r="X175" s="15">
        <f t="shared" si="170"/>
        <v>10.3584</v>
      </c>
      <c r="Y175" s="15">
        <f t="shared" si="170"/>
        <v>11.602500000000001</v>
      </c>
      <c r="Z175" s="15">
        <f t="shared" si="170"/>
        <v>11.719499999999998</v>
      </c>
      <c r="AA175" s="15">
        <f t="shared" si="170"/>
        <v>11.4815</v>
      </c>
      <c r="AB175" s="15"/>
      <c r="AC175" s="15"/>
      <c r="AD175" s="21">
        <f>SUM(T175:AC175)</f>
        <v>74.355339999999998</v>
      </c>
    </row>
    <row r="176" spans="1:31" x14ac:dyDescent="0.3">
      <c r="A176" s="22"/>
      <c r="C176" s="15"/>
      <c r="D176" s="37"/>
      <c r="E176" s="15"/>
      <c r="F176" s="15"/>
      <c r="G176" s="15"/>
      <c r="H176" s="15"/>
      <c r="I176" s="15"/>
      <c r="J176" s="38"/>
      <c r="K176" s="15"/>
      <c r="L176" s="15"/>
      <c r="M176" s="15"/>
      <c r="N176" s="15"/>
      <c r="O176" s="15"/>
      <c r="Q176" s="22"/>
      <c r="R176" s="22"/>
      <c r="S176" s="1" t="s">
        <v>115</v>
      </c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33">
        <f>(AD173-AD174)/AD173*100</f>
        <v>1.3222088507319535E-2</v>
      </c>
      <c r="AE176" s="25"/>
    </row>
    <row r="177" spans="1:31" x14ac:dyDescent="0.3">
      <c r="A177" s="22"/>
      <c r="C177" s="15"/>
      <c r="D177" s="37"/>
      <c r="E177" s="15"/>
      <c r="F177" s="15"/>
      <c r="G177" s="15"/>
      <c r="H177" s="15"/>
      <c r="I177" s="15"/>
      <c r="J177" s="38"/>
      <c r="K177" s="15"/>
      <c r="L177" s="15"/>
      <c r="M177" s="15"/>
      <c r="N177" s="15"/>
      <c r="O177" s="15"/>
      <c r="Q177" s="22"/>
      <c r="R177" s="22"/>
      <c r="S177" s="1" t="s">
        <v>103</v>
      </c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33">
        <f>AD173-AD175</f>
        <v>5.9647999999999968</v>
      </c>
      <c r="AE177" s="25"/>
    </row>
    <row r="178" spans="1:31" ht="16.2" thickBot="1" x14ac:dyDescent="0.35">
      <c r="A178" s="22"/>
      <c r="B178" s="2" t="s">
        <v>32</v>
      </c>
      <c r="C178" s="15"/>
      <c r="D178" s="40">
        <v>0.5</v>
      </c>
      <c r="E178" s="15">
        <v>0.5</v>
      </c>
      <c r="F178" s="15">
        <v>0.52</v>
      </c>
      <c r="G178" s="15">
        <v>0.48</v>
      </c>
      <c r="H178" s="15">
        <v>0.5</v>
      </c>
      <c r="I178" s="15">
        <v>0.5</v>
      </c>
      <c r="J178" s="41">
        <v>0.5</v>
      </c>
      <c r="K178" s="15"/>
      <c r="L178" s="15"/>
      <c r="M178" s="15"/>
      <c r="N178" s="15"/>
      <c r="O178" s="15"/>
      <c r="P178" s="16"/>
      <c r="Q178" s="22"/>
      <c r="R178" s="22"/>
      <c r="S178" s="2" t="s">
        <v>97</v>
      </c>
      <c r="T178" s="219"/>
      <c r="U178" s="219"/>
      <c r="V178" s="219"/>
      <c r="W178" s="219"/>
      <c r="X178" s="219"/>
      <c r="Y178" s="219"/>
      <c r="Z178" s="219"/>
      <c r="AA178" s="219"/>
      <c r="AB178" s="219"/>
      <c r="AC178" s="219"/>
      <c r="AD178" s="39"/>
    </row>
    <row r="179" spans="1:31" ht="15.75" customHeight="1" x14ac:dyDescent="0.3">
      <c r="A179" s="216" t="s">
        <v>151</v>
      </c>
      <c r="B179" s="13" t="s">
        <v>98</v>
      </c>
      <c r="C179" s="14"/>
      <c r="D179" s="14"/>
      <c r="E179" s="34">
        <v>0</v>
      </c>
      <c r="F179" s="14">
        <v>0.4</v>
      </c>
      <c r="G179" s="14">
        <v>1.3</v>
      </c>
      <c r="H179" s="14">
        <v>2.8210000000000002</v>
      </c>
      <c r="I179" s="14">
        <v>3.3069999999999999</v>
      </c>
      <c r="J179" s="14">
        <v>4.1660000000000004</v>
      </c>
      <c r="K179" s="35">
        <v>2.5840000000000001</v>
      </c>
      <c r="L179" s="14"/>
      <c r="M179" s="14"/>
      <c r="N179" s="15" t="s">
        <v>109</v>
      </c>
      <c r="O179" s="16">
        <f t="shared" ref="O179" si="171">COUNTIF(A179:L179, "&gt;0" )</f>
        <v>6</v>
      </c>
      <c r="Q179" s="216" t="s">
        <v>151</v>
      </c>
      <c r="R179" s="216" t="s">
        <v>2</v>
      </c>
      <c r="S179" s="36" t="s">
        <v>98</v>
      </c>
      <c r="T179" s="18"/>
      <c r="U179" s="18"/>
      <c r="V179" s="18">
        <f t="shared" ref="V179:AB179" si="172">E179*E186</f>
        <v>0</v>
      </c>
      <c r="W179" s="18">
        <f t="shared" si="172"/>
        <v>0.21600000000000003</v>
      </c>
      <c r="X179" s="18">
        <f t="shared" si="172"/>
        <v>0.59800000000000009</v>
      </c>
      <c r="Y179" s="18">
        <f t="shared" si="172"/>
        <v>1.4105000000000001</v>
      </c>
      <c r="Z179" s="18">
        <f t="shared" si="172"/>
        <v>1.6535</v>
      </c>
      <c r="AA179" s="18">
        <f t="shared" si="172"/>
        <v>2.0830000000000002</v>
      </c>
      <c r="AB179" s="18">
        <f t="shared" si="172"/>
        <v>1.292</v>
      </c>
      <c r="AC179" s="18"/>
      <c r="AD179" s="33">
        <f>SUM(T179:AC179)</f>
        <v>7.2530000000000001</v>
      </c>
      <c r="AE179" s="25"/>
    </row>
    <row r="180" spans="1:31" ht="15.75" customHeight="1" x14ac:dyDescent="0.3">
      <c r="A180" s="217"/>
      <c r="B180" s="2" t="s">
        <v>110</v>
      </c>
      <c r="C180" s="15"/>
      <c r="D180" s="15"/>
      <c r="E180" s="37"/>
      <c r="F180" s="15" t="s">
        <v>111</v>
      </c>
      <c r="G180" s="15" t="s">
        <v>111</v>
      </c>
      <c r="H180" s="15" t="s">
        <v>112</v>
      </c>
      <c r="I180" s="15" t="s">
        <v>125</v>
      </c>
      <c r="J180" s="15" t="s">
        <v>112</v>
      </c>
      <c r="K180" s="38" t="s">
        <v>111</v>
      </c>
      <c r="L180" s="15"/>
      <c r="M180" s="15"/>
      <c r="N180" s="15" t="s">
        <v>105</v>
      </c>
      <c r="O180" s="15">
        <f t="shared" ref="O180" si="173">COUNTIF(A180:L180,"Cortex")</f>
        <v>3</v>
      </c>
      <c r="Q180" s="217"/>
      <c r="R180" s="217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21"/>
    </row>
    <row r="181" spans="1:31" ht="15.75" customHeight="1" x14ac:dyDescent="0.3">
      <c r="A181" s="217"/>
      <c r="B181" s="2" t="s">
        <v>99</v>
      </c>
      <c r="C181" s="15"/>
      <c r="D181" s="15"/>
      <c r="E181" s="37">
        <v>18.111000000000001</v>
      </c>
      <c r="F181" s="15">
        <v>20.879000000000001</v>
      </c>
      <c r="G181" s="15">
        <v>23.67</v>
      </c>
      <c r="H181" s="15">
        <v>24.962</v>
      </c>
      <c r="I181" s="15">
        <v>27.89</v>
      </c>
      <c r="J181" s="15">
        <v>29.143999999999998</v>
      </c>
      <c r="K181" s="38">
        <v>29.936</v>
      </c>
      <c r="L181" s="15"/>
      <c r="M181" s="15"/>
      <c r="N181" s="15" t="s">
        <v>106</v>
      </c>
      <c r="O181" s="15">
        <f t="shared" ref="O181" si="174">O179-O180</f>
        <v>3</v>
      </c>
      <c r="Q181" s="217"/>
      <c r="R181" s="217"/>
      <c r="S181" s="2" t="s">
        <v>99</v>
      </c>
      <c r="T181" s="15"/>
      <c r="U181" s="15"/>
      <c r="V181" s="15">
        <f t="shared" ref="V181:AB181" si="175">E181*E186</f>
        <v>7.9688400000000001</v>
      </c>
      <c r="W181" s="15">
        <f t="shared" si="175"/>
        <v>11.274660000000001</v>
      </c>
      <c r="X181" s="15">
        <f t="shared" si="175"/>
        <v>10.888200000000001</v>
      </c>
      <c r="Y181" s="15">
        <f t="shared" si="175"/>
        <v>12.481</v>
      </c>
      <c r="Z181" s="15">
        <f t="shared" si="175"/>
        <v>13.945</v>
      </c>
      <c r="AA181" s="15">
        <f t="shared" si="175"/>
        <v>14.571999999999999</v>
      </c>
      <c r="AB181" s="15">
        <f t="shared" si="175"/>
        <v>14.968</v>
      </c>
      <c r="AC181" s="15"/>
      <c r="AD181" s="21">
        <f>SUM(T181:AC181)</f>
        <v>86.097700000000003</v>
      </c>
    </row>
    <row r="182" spans="1:31" ht="15.75" customHeight="1" x14ac:dyDescent="0.3">
      <c r="A182" s="217"/>
      <c r="B182" s="2" t="s">
        <v>100</v>
      </c>
      <c r="C182" s="15"/>
      <c r="D182" s="15"/>
      <c r="E182" s="37">
        <v>18.588000000000001</v>
      </c>
      <c r="F182" s="15">
        <v>21.018000000000001</v>
      </c>
      <c r="G182" s="15">
        <v>24.268999999999998</v>
      </c>
      <c r="H182" s="15">
        <v>25.497</v>
      </c>
      <c r="I182" s="15">
        <v>27.405000000000001</v>
      </c>
      <c r="J182" s="15">
        <v>29.087</v>
      </c>
      <c r="K182" s="38">
        <v>29.997999999999998</v>
      </c>
      <c r="L182" s="15"/>
      <c r="M182" s="15"/>
      <c r="N182" s="15" t="s">
        <v>113</v>
      </c>
      <c r="O182" s="16">
        <f t="shared" ref="O182" si="176">COUNTIF(A179:M179, "&gt;=0" )</f>
        <v>7</v>
      </c>
      <c r="Q182" s="217"/>
      <c r="R182" s="217"/>
      <c r="S182" s="2" t="s">
        <v>100</v>
      </c>
      <c r="T182" s="15"/>
      <c r="U182" s="15"/>
      <c r="V182" s="15">
        <f t="shared" ref="V182:AB182" si="177">E182*E186</f>
        <v>8.1787200000000002</v>
      </c>
      <c r="W182" s="15">
        <f t="shared" si="177"/>
        <v>11.349720000000001</v>
      </c>
      <c r="X182" s="15">
        <f t="shared" si="177"/>
        <v>11.163739999999999</v>
      </c>
      <c r="Y182" s="15">
        <f t="shared" si="177"/>
        <v>12.7485</v>
      </c>
      <c r="Z182" s="15">
        <f t="shared" si="177"/>
        <v>13.702500000000001</v>
      </c>
      <c r="AA182" s="15">
        <f t="shared" si="177"/>
        <v>14.5435</v>
      </c>
      <c r="AB182" s="15">
        <f t="shared" si="177"/>
        <v>14.998999999999999</v>
      </c>
      <c r="AC182" s="15"/>
      <c r="AD182" s="21">
        <f>SUM(T182:AC182)</f>
        <v>86.685679999999991</v>
      </c>
    </row>
    <row r="183" spans="1:31" x14ac:dyDescent="0.3">
      <c r="A183" s="22"/>
      <c r="B183" s="2" t="s">
        <v>114</v>
      </c>
      <c r="C183" s="15"/>
      <c r="D183" s="15"/>
      <c r="E183" s="37">
        <v>18.588000000000001</v>
      </c>
      <c r="F183" s="15">
        <v>20.618000000000002</v>
      </c>
      <c r="G183" s="15">
        <v>22.968999999999998</v>
      </c>
      <c r="H183" s="15">
        <v>22.675999999999998</v>
      </c>
      <c r="I183" s="15">
        <v>24.098000000000003</v>
      </c>
      <c r="J183" s="15">
        <v>24.920999999999999</v>
      </c>
      <c r="K183" s="38">
        <v>27.413999999999998</v>
      </c>
      <c r="L183" s="15"/>
      <c r="M183" s="15"/>
      <c r="N183" s="15"/>
      <c r="O183" s="15"/>
      <c r="Q183" s="22"/>
      <c r="R183" s="22"/>
      <c r="S183" s="2" t="s">
        <v>114</v>
      </c>
      <c r="T183" s="15"/>
      <c r="U183" s="15"/>
      <c r="V183" s="15">
        <f t="shared" ref="V183:AB183" si="178">E183*E186</f>
        <v>8.1787200000000002</v>
      </c>
      <c r="W183" s="15">
        <f t="shared" si="178"/>
        <v>11.133720000000002</v>
      </c>
      <c r="X183" s="15">
        <f t="shared" si="178"/>
        <v>10.56574</v>
      </c>
      <c r="Y183" s="15">
        <f t="shared" si="178"/>
        <v>11.337999999999999</v>
      </c>
      <c r="Z183" s="15">
        <f t="shared" si="178"/>
        <v>12.049000000000001</v>
      </c>
      <c r="AA183" s="15">
        <f t="shared" si="178"/>
        <v>12.4605</v>
      </c>
      <c r="AB183" s="15">
        <f t="shared" si="178"/>
        <v>13.706999999999999</v>
      </c>
      <c r="AC183" s="15"/>
      <c r="AD183" s="21">
        <f>SUM(T183:AC183)</f>
        <v>79.432679999999991</v>
      </c>
    </row>
    <row r="184" spans="1:31" x14ac:dyDescent="0.3">
      <c r="A184" s="22"/>
      <c r="C184" s="15"/>
      <c r="D184" s="15"/>
      <c r="E184" s="37"/>
      <c r="F184" s="15"/>
      <c r="G184" s="15"/>
      <c r="H184" s="15"/>
      <c r="I184" s="15"/>
      <c r="J184" s="15"/>
      <c r="K184" s="38"/>
      <c r="L184" s="15"/>
      <c r="M184" s="15"/>
      <c r="N184" s="15"/>
      <c r="O184" s="15"/>
      <c r="Q184" s="22"/>
      <c r="R184" s="22"/>
      <c r="S184" s="1" t="s">
        <v>115</v>
      </c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33">
        <f>(AD181-AD182)/AD181*100</f>
        <v>-0.68292184344063478</v>
      </c>
      <c r="AE184" s="25"/>
    </row>
    <row r="185" spans="1:31" x14ac:dyDescent="0.3">
      <c r="A185" s="22"/>
      <c r="C185" s="15"/>
      <c r="D185" s="15"/>
      <c r="E185" s="37"/>
      <c r="F185" s="15"/>
      <c r="G185" s="15"/>
      <c r="H185" s="15"/>
      <c r="I185" s="15"/>
      <c r="J185" s="15"/>
      <c r="K185" s="38"/>
      <c r="L185" s="15"/>
      <c r="M185" s="15"/>
      <c r="N185" s="15"/>
      <c r="O185" s="15"/>
      <c r="Q185" s="22"/>
      <c r="R185" s="22"/>
      <c r="S185" s="1" t="s">
        <v>103</v>
      </c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33">
        <f>AD181-AD183</f>
        <v>6.6650200000000126</v>
      </c>
      <c r="AE185" s="25"/>
    </row>
    <row r="186" spans="1:31" ht="16.2" thickBot="1" x14ac:dyDescent="0.35">
      <c r="A186" s="22"/>
      <c r="B186" s="2" t="s">
        <v>32</v>
      </c>
      <c r="C186" s="15"/>
      <c r="D186" s="15"/>
      <c r="E186" s="37">
        <v>0.44</v>
      </c>
      <c r="F186" s="15">
        <v>0.54</v>
      </c>
      <c r="G186" s="15">
        <v>0.46</v>
      </c>
      <c r="H186" s="15">
        <v>0.5</v>
      </c>
      <c r="I186" s="15">
        <v>0.5</v>
      </c>
      <c r="J186" s="15">
        <v>0.5</v>
      </c>
      <c r="K186" s="38">
        <v>0.5</v>
      </c>
      <c r="L186" s="15"/>
      <c r="M186" s="15"/>
      <c r="N186" s="15"/>
      <c r="O186" s="15"/>
      <c r="P186" s="16"/>
      <c r="Q186" s="22"/>
      <c r="R186" s="22"/>
      <c r="S186" s="2" t="s">
        <v>97</v>
      </c>
      <c r="T186" s="221" t="s">
        <v>134</v>
      </c>
      <c r="U186" s="221"/>
      <c r="V186" s="221"/>
      <c r="W186" s="221"/>
      <c r="X186" s="221"/>
      <c r="Y186" s="221"/>
      <c r="Z186" s="221"/>
      <c r="AA186" s="221"/>
      <c r="AB186" s="221"/>
      <c r="AC186" s="221"/>
      <c r="AD186" s="39"/>
    </row>
    <row r="187" spans="1:31" ht="15.75" customHeight="1" x14ac:dyDescent="0.3">
      <c r="A187" s="216" t="s">
        <v>152</v>
      </c>
      <c r="B187" s="13" t="s">
        <v>98</v>
      </c>
      <c r="C187" s="14"/>
      <c r="D187" s="14"/>
      <c r="E187" s="34">
        <v>2.4430000000000001</v>
      </c>
      <c r="F187" s="14">
        <v>2.528</v>
      </c>
      <c r="G187" s="14">
        <v>3.46</v>
      </c>
      <c r="H187" s="14">
        <v>3.5920000000000001</v>
      </c>
      <c r="I187" s="14">
        <v>2.903</v>
      </c>
      <c r="J187" s="14">
        <v>2.3490000000000002</v>
      </c>
      <c r="K187" s="35">
        <v>2.23</v>
      </c>
      <c r="L187" s="14"/>
      <c r="M187" s="14"/>
      <c r="N187" s="15" t="s">
        <v>109</v>
      </c>
      <c r="O187" s="16">
        <f t="shared" ref="O187" si="179">COUNTIF(A187:L187, "&gt;0" )</f>
        <v>7</v>
      </c>
      <c r="Q187" s="216" t="s">
        <v>152</v>
      </c>
      <c r="R187" s="216" t="s">
        <v>2</v>
      </c>
      <c r="S187" s="36" t="s">
        <v>98</v>
      </c>
      <c r="T187" s="18"/>
      <c r="U187" s="18"/>
      <c r="V187" s="18">
        <f t="shared" ref="V187:AB187" si="180">E187*E194</f>
        <v>1.1726399999999999</v>
      </c>
      <c r="W187" s="18">
        <f t="shared" si="180"/>
        <v>1.1628800000000001</v>
      </c>
      <c r="X187" s="18">
        <f t="shared" si="180"/>
        <v>1.7992000000000001</v>
      </c>
      <c r="Y187" s="18">
        <f t="shared" si="180"/>
        <v>1.7241599999999999</v>
      </c>
      <c r="Z187" s="18">
        <f t="shared" si="180"/>
        <v>1.4515</v>
      </c>
      <c r="AA187" s="18">
        <f t="shared" si="180"/>
        <v>1.36242</v>
      </c>
      <c r="AB187" s="18">
        <f t="shared" si="180"/>
        <v>0.98119999999999996</v>
      </c>
      <c r="AC187" s="18"/>
      <c r="AD187" s="33">
        <f>SUM(T187:AC187)</f>
        <v>9.6539999999999981</v>
      </c>
      <c r="AE187" s="25"/>
    </row>
    <row r="188" spans="1:31" ht="15.75" customHeight="1" x14ac:dyDescent="0.3">
      <c r="A188" s="217"/>
      <c r="B188" s="2" t="s">
        <v>110</v>
      </c>
      <c r="C188" s="15"/>
      <c r="D188" s="15"/>
      <c r="E188" s="37" t="s">
        <v>111</v>
      </c>
      <c r="F188" s="15" t="s">
        <v>111</v>
      </c>
      <c r="G188" s="15" t="s">
        <v>153</v>
      </c>
      <c r="H188" s="15" t="s">
        <v>111</v>
      </c>
      <c r="I188" s="15" t="s">
        <v>111</v>
      </c>
      <c r="J188" s="15" t="s">
        <v>112</v>
      </c>
      <c r="K188" s="38" t="s">
        <v>111</v>
      </c>
      <c r="L188" s="15"/>
      <c r="M188" s="15"/>
      <c r="N188" s="15" t="s">
        <v>105</v>
      </c>
      <c r="O188" s="15">
        <f t="shared" ref="O188" si="181">COUNTIF(A188:L188,"Cortex")</f>
        <v>5</v>
      </c>
      <c r="Q188" s="217"/>
      <c r="R188" s="217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21"/>
    </row>
    <row r="189" spans="1:31" ht="15.75" customHeight="1" x14ac:dyDescent="0.3">
      <c r="A189" s="217"/>
      <c r="B189" s="2" t="s">
        <v>99</v>
      </c>
      <c r="C189" s="15"/>
      <c r="D189" s="15"/>
      <c r="E189" s="37">
        <v>16.902999999999999</v>
      </c>
      <c r="F189" s="15">
        <v>19.254999999999999</v>
      </c>
      <c r="G189" s="15">
        <v>22.015999999999998</v>
      </c>
      <c r="H189" s="15">
        <v>23.04</v>
      </c>
      <c r="I189" s="15">
        <v>25.84</v>
      </c>
      <c r="J189" s="15">
        <v>26.76</v>
      </c>
      <c r="K189" s="38">
        <v>27.905999999999999</v>
      </c>
      <c r="L189" s="15"/>
      <c r="M189" s="15"/>
      <c r="N189" s="15" t="s">
        <v>106</v>
      </c>
      <c r="O189" s="15">
        <f t="shared" ref="O189" si="182">O187-O188</f>
        <v>2</v>
      </c>
      <c r="Q189" s="217"/>
      <c r="R189" s="217"/>
      <c r="S189" s="2" t="s">
        <v>99</v>
      </c>
      <c r="T189" s="15"/>
      <c r="U189" s="15"/>
      <c r="V189" s="15">
        <f t="shared" ref="V189:AB189" si="183">E189*E194</f>
        <v>8.1134399999999989</v>
      </c>
      <c r="W189" s="15">
        <f t="shared" si="183"/>
        <v>8.8573000000000004</v>
      </c>
      <c r="X189" s="15">
        <f t="shared" si="183"/>
        <v>11.448319999999999</v>
      </c>
      <c r="Y189" s="15">
        <f t="shared" si="183"/>
        <v>11.059199999999999</v>
      </c>
      <c r="Z189" s="15">
        <f t="shared" si="183"/>
        <v>12.92</v>
      </c>
      <c r="AA189" s="15">
        <f t="shared" si="183"/>
        <v>15.520799999999999</v>
      </c>
      <c r="AB189" s="15">
        <f t="shared" si="183"/>
        <v>12.278639999999999</v>
      </c>
      <c r="AC189" s="15"/>
      <c r="AD189" s="21">
        <f>SUM(T189:AC189)</f>
        <v>80.197699999999998</v>
      </c>
    </row>
    <row r="190" spans="1:31" ht="15.75" customHeight="1" x14ac:dyDescent="0.3">
      <c r="A190" s="217"/>
      <c r="B190" s="2" t="s">
        <v>100</v>
      </c>
      <c r="C190" s="15"/>
      <c r="D190" s="15"/>
      <c r="E190" s="37">
        <v>17.109000000000002</v>
      </c>
      <c r="F190" s="15">
        <v>18.853999999999999</v>
      </c>
      <c r="G190" s="15">
        <v>22.34</v>
      </c>
      <c r="H190" s="15">
        <v>24.012</v>
      </c>
      <c r="I190" s="15">
        <v>25.204000000000001</v>
      </c>
      <c r="J190" s="15">
        <v>26.625</v>
      </c>
      <c r="K190" s="38">
        <v>26.995000000000001</v>
      </c>
      <c r="L190" s="15"/>
      <c r="M190" s="15"/>
      <c r="N190" s="15" t="s">
        <v>113</v>
      </c>
      <c r="O190" s="16">
        <f t="shared" ref="O190" si="184">COUNTIF(A187:M187, "&gt;=0" )</f>
        <v>7</v>
      </c>
      <c r="Q190" s="217"/>
      <c r="R190" s="217"/>
      <c r="S190" s="2" t="s">
        <v>100</v>
      </c>
      <c r="T190" s="15"/>
      <c r="U190" s="15"/>
      <c r="V190" s="15">
        <f t="shared" ref="V190:AB190" si="185">E190*E194</f>
        <v>8.2123200000000001</v>
      </c>
      <c r="W190" s="15">
        <f t="shared" si="185"/>
        <v>8.6728400000000008</v>
      </c>
      <c r="X190" s="15">
        <f t="shared" si="185"/>
        <v>11.6168</v>
      </c>
      <c r="Y190" s="15">
        <f t="shared" si="185"/>
        <v>11.52576</v>
      </c>
      <c r="Z190" s="15">
        <f t="shared" si="185"/>
        <v>12.602</v>
      </c>
      <c r="AA190" s="15">
        <f t="shared" si="185"/>
        <v>15.442499999999999</v>
      </c>
      <c r="AB190" s="15">
        <f t="shared" si="185"/>
        <v>11.877800000000001</v>
      </c>
      <c r="AC190" s="15"/>
      <c r="AD190" s="21">
        <f>SUM(T190:AC190)</f>
        <v>79.950019999999995</v>
      </c>
    </row>
    <row r="191" spans="1:31" x14ac:dyDescent="0.3">
      <c r="A191" s="22"/>
      <c r="B191" s="2" t="s">
        <v>114</v>
      </c>
      <c r="C191" s="15"/>
      <c r="D191" s="15"/>
      <c r="E191" s="37">
        <v>14.666000000000002</v>
      </c>
      <c r="F191" s="15">
        <v>16.326000000000001</v>
      </c>
      <c r="G191" s="15">
        <v>18.88</v>
      </c>
      <c r="H191" s="15">
        <v>20.420000000000002</v>
      </c>
      <c r="I191" s="15">
        <v>22.301000000000002</v>
      </c>
      <c r="J191" s="15">
        <v>24.276</v>
      </c>
      <c r="K191" s="38">
        <v>24.765000000000001</v>
      </c>
      <c r="L191" s="15"/>
      <c r="M191" s="15"/>
      <c r="N191" s="15"/>
      <c r="O191" s="15"/>
      <c r="Q191" s="22"/>
      <c r="R191" s="22"/>
      <c r="S191" s="2" t="s">
        <v>114</v>
      </c>
      <c r="T191" s="15"/>
      <c r="U191" s="15"/>
      <c r="V191" s="15">
        <f t="shared" ref="V191:AB191" si="186">E191*E194</f>
        <v>7.0396800000000006</v>
      </c>
      <c r="W191" s="15">
        <f t="shared" si="186"/>
        <v>7.5099600000000004</v>
      </c>
      <c r="X191" s="15">
        <f t="shared" si="186"/>
        <v>9.8176000000000005</v>
      </c>
      <c r="Y191" s="15">
        <f t="shared" si="186"/>
        <v>9.8016000000000005</v>
      </c>
      <c r="Z191" s="15">
        <f t="shared" si="186"/>
        <v>11.150500000000001</v>
      </c>
      <c r="AA191" s="15">
        <f t="shared" si="186"/>
        <v>14.080079999999999</v>
      </c>
      <c r="AB191" s="15">
        <f t="shared" si="186"/>
        <v>10.896600000000001</v>
      </c>
      <c r="AC191" s="15"/>
      <c r="AD191" s="21">
        <f>SUM(T191:AC191)</f>
        <v>70.296020000000013</v>
      </c>
    </row>
    <row r="192" spans="1:31" x14ac:dyDescent="0.3">
      <c r="A192" s="22"/>
      <c r="C192" s="15"/>
      <c r="D192" s="15"/>
      <c r="E192" s="37"/>
      <c r="F192" s="15"/>
      <c r="G192" s="15"/>
      <c r="H192" s="15"/>
      <c r="I192" s="15"/>
      <c r="J192" s="15"/>
      <c r="K192" s="38"/>
      <c r="L192" s="15"/>
      <c r="M192" s="15"/>
      <c r="N192" s="15"/>
      <c r="O192" s="15"/>
      <c r="Q192" s="22"/>
      <c r="R192" s="22"/>
      <c r="S192" s="1" t="s">
        <v>115</v>
      </c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33">
        <f>(AD189-AD190)/AD189*100</f>
        <v>0.30883678708990725</v>
      </c>
      <c r="AE192" s="25"/>
    </row>
    <row r="193" spans="1:31" x14ac:dyDescent="0.3">
      <c r="A193" s="22"/>
      <c r="C193" s="15"/>
      <c r="D193" s="15"/>
      <c r="E193" s="37"/>
      <c r="F193" s="15"/>
      <c r="G193" s="15"/>
      <c r="H193" s="15"/>
      <c r="I193" s="15"/>
      <c r="J193" s="15"/>
      <c r="K193" s="38"/>
      <c r="L193" s="15"/>
      <c r="M193" s="15"/>
      <c r="N193" s="15"/>
      <c r="O193" s="15"/>
      <c r="Q193" s="22"/>
      <c r="R193" s="22"/>
      <c r="S193" s="1" t="s">
        <v>103</v>
      </c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33">
        <f>AD189-AD191</f>
        <v>9.9016799999999847</v>
      </c>
      <c r="AE193" s="25"/>
    </row>
    <row r="194" spans="1:31" ht="15.75" customHeight="1" thickBot="1" x14ac:dyDescent="0.35">
      <c r="A194" s="22"/>
      <c r="B194" s="2" t="s">
        <v>32</v>
      </c>
      <c r="C194" s="15"/>
      <c r="D194" s="15"/>
      <c r="E194" s="37">
        <v>0.48</v>
      </c>
      <c r="F194" s="15">
        <v>0.46</v>
      </c>
      <c r="G194" s="15">
        <v>0.52</v>
      </c>
      <c r="H194" s="15">
        <v>0.48</v>
      </c>
      <c r="I194" s="15">
        <v>0.5</v>
      </c>
      <c r="J194" s="15">
        <v>0.57999999999999996</v>
      </c>
      <c r="K194" s="38">
        <v>0.44</v>
      </c>
      <c r="L194" s="15"/>
      <c r="M194" s="15"/>
      <c r="N194" s="15"/>
      <c r="O194" s="15"/>
      <c r="Q194" s="22"/>
      <c r="R194" s="22"/>
      <c r="S194" s="2" t="s">
        <v>97</v>
      </c>
      <c r="T194" s="219"/>
      <c r="U194" s="219"/>
      <c r="V194" s="219"/>
      <c r="W194" s="219"/>
      <c r="X194" s="219"/>
      <c r="Y194" s="219"/>
      <c r="Z194" s="219"/>
      <c r="AA194" s="219"/>
      <c r="AB194" s="219"/>
      <c r="AC194" s="219"/>
      <c r="AD194" s="39"/>
    </row>
    <row r="195" spans="1:31" ht="15.75" customHeight="1" x14ac:dyDescent="0.3">
      <c r="A195" s="216" t="s">
        <v>154</v>
      </c>
      <c r="B195" s="13" t="s">
        <v>98</v>
      </c>
      <c r="C195" s="14"/>
      <c r="D195" s="14"/>
      <c r="E195" s="34">
        <v>2.835</v>
      </c>
      <c r="F195" s="14">
        <v>3.335</v>
      </c>
      <c r="G195" s="14">
        <v>4.6369999999999996</v>
      </c>
      <c r="H195" s="14">
        <v>3.9620000000000002</v>
      </c>
      <c r="I195" s="14">
        <v>3.7549999999999999</v>
      </c>
      <c r="J195" s="14">
        <v>3.8010000000000002</v>
      </c>
      <c r="K195" s="35">
        <v>0.503</v>
      </c>
      <c r="L195" s="14"/>
      <c r="M195" s="14"/>
      <c r="N195" s="15" t="s">
        <v>109</v>
      </c>
      <c r="O195" s="16">
        <f t="shared" ref="O195" si="187">COUNTIF(A195:L195, "&gt;0" )</f>
        <v>7</v>
      </c>
      <c r="Q195" s="216" t="s">
        <v>154</v>
      </c>
      <c r="R195" s="216" t="s">
        <v>2</v>
      </c>
      <c r="S195" s="36" t="s">
        <v>98</v>
      </c>
      <c r="T195" s="18"/>
      <c r="U195" s="18"/>
      <c r="V195" s="18">
        <f t="shared" ref="V195:AB195" si="188">E195*E202</f>
        <v>1.4175</v>
      </c>
      <c r="W195" s="18">
        <f t="shared" si="188"/>
        <v>1.8009000000000002</v>
      </c>
      <c r="X195" s="18">
        <f t="shared" si="188"/>
        <v>2.1330199999999997</v>
      </c>
      <c r="Y195" s="18">
        <f t="shared" si="188"/>
        <v>1.9810000000000001</v>
      </c>
      <c r="Z195" s="18">
        <f t="shared" si="188"/>
        <v>1.8774999999999999</v>
      </c>
      <c r="AA195" s="18">
        <f t="shared" si="188"/>
        <v>1.9005000000000001</v>
      </c>
      <c r="AB195" s="18">
        <f t="shared" si="188"/>
        <v>0.2515</v>
      </c>
      <c r="AC195" s="18"/>
      <c r="AD195" s="33">
        <f>SUM(T195:AC195)</f>
        <v>11.361919999999998</v>
      </c>
      <c r="AE195" s="25"/>
    </row>
    <row r="196" spans="1:31" ht="15.75" customHeight="1" x14ac:dyDescent="0.3">
      <c r="A196" s="217"/>
      <c r="B196" s="2" t="s">
        <v>110</v>
      </c>
      <c r="C196" s="15"/>
      <c r="D196" s="15"/>
      <c r="E196" s="37" t="s">
        <v>111</v>
      </c>
      <c r="F196" s="15" t="s">
        <v>111</v>
      </c>
      <c r="G196" s="15" t="s">
        <v>125</v>
      </c>
      <c r="H196" s="15" t="s">
        <v>111</v>
      </c>
      <c r="I196" s="15" t="s">
        <v>111</v>
      </c>
      <c r="J196" s="15" t="s">
        <v>111</v>
      </c>
      <c r="K196" s="38" t="s">
        <v>111</v>
      </c>
      <c r="L196" s="15"/>
      <c r="M196" s="15"/>
      <c r="N196" s="15" t="s">
        <v>105</v>
      </c>
      <c r="O196" s="15">
        <f t="shared" ref="O196" si="189">COUNTIF(A196:L196,"Cortex")</f>
        <v>6</v>
      </c>
      <c r="Q196" s="217"/>
      <c r="R196" s="217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21"/>
    </row>
    <row r="197" spans="1:31" ht="15.75" customHeight="1" x14ac:dyDescent="0.3">
      <c r="A197" s="217"/>
      <c r="B197" s="2" t="s">
        <v>99</v>
      </c>
      <c r="C197" s="15"/>
      <c r="D197" s="15"/>
      <c r="E197" s="37">
        <v>18.891999999999999</v>
      </c>
      <c r="F197" s="15">
        <v>21.363</v>
      </c>
      <c r="G197" s="15">
        <v>25.018999999999998</v>
      </c>
      <c r="H197" s="15">
        <v>26.838000000000001</v>
      </c>
      <c r="I197" s="15">
        <v>26.983000000000001</v>
      </c>
      <c r="J197" s="15">
        <v>28.239000000000001</v>
      </c>
      <c r="K197" s="38">
        <v>27.78</v>
      </c>
      <c r="L197" s="15"/>
      <c r="M197" s="15"/>
      <c r="N197" s="15" t="s">
        <v>106</v>
      </c>
      <c r="O197" s="15">
        <f t="shared" ref="O197" si="190">O195-O196</f>
        <v>1</v>
      </c>
      <c r="Q197" s="217"/>
      <c r="R197" s="217"/>
      <c r="S197" s="2" t="s">
        <v>99</v>
      </c>
      <c r="T197" s="15"/>
      <c r="U197" s="15"/>
      <c r="V197" s="15">
        <f t="shared" ref="V197:AB197" si="191">E197*E202</f>
        <v>9.4459999999999997</v>
      </c>
      <c r="W197" s="15">
        <f t="shared" si="191"/>
        <v>11.536020000000001</v>
      </c>
      <c r="X197" s="15">
        <f t="shared" si="191"/>
        <v>11.50874</v>
      </c>
      <c r="Y197" s="15">
        <f t="shared" si="191"/>
        <v>13.419</v>
      </c>
      <c r="Z197" s="15">
        <f t="shared" si="191"/>
        <v>13.4915</v>
      </c>
      <c r="AA197" s="15">
        <f t="shared" si="191"/>
        <v>14.1195</v>
      </c>
      <c r="AB197" s="15">
        <f t="shared" si="191"/>
        <v>13.89</v>
      </c>
      <c r="AC197" s="15"/>
      <c r="AD197" s="21">
        <f>SUM(T197:AC197)</f>
        <v>87.410759999999996</v>
      </c>
    </row>
    <row r="198" spans="1:31" ht="15.75" customHeight="1" x14ac:dyDescent="0.3">
      <c r="A198" s="217"/>
      <c r="B198" s="2" t="s">
        <v>100</v>
      </c>
      <c r="C198" s="15"/>
      <c r="D198" s="15"/>
      <c r="E198" s="37">
        <v>18.745999999999999</v>
      </c>
      <c r="F198" s="15">
        <v>21.105</v>
      </c>
      <c r="G198" s="15">
        <v>24.119</v>
      </c>
      <c r="H198" s="15">
        <v>27.059000000000001</v>
      </c>
      <c r="I198" s="15">
        <v>25.539000000000001</v>
      </c>
      <c r="J198" s="15">
        <v>27.12</v>
      </c>
      <c r="K198" s="38">
        <v>27.562000000000001</v>
      </c>
      <c r="L198" s="15"/>
      <c r="M198" s="15"/>
      <c r="N198" s="15" t="s">
        <v>113</v>
      </c>
      <c r="O198" s="16">
        <f t="shared" ref="O198" si="192">COUNTIF(A195:M195, "&gt;=0" )</f>
        <v>7</v>
      </c>
      <c r="Q198" s="217"/>
      <c r="R198" s="217"/>
      <c r="S198" s="2" t="s">
        <v>100</v>
      </c>
      <c r="T198" s="15"/>
      <c r="U198" s="15"/>
      <c r="V198" s="15">
        <f t="shared" ref="V198:AB198" si="193">E198*E202</f>
        <v>9.3729999999999993</v>
      </c>
      <c r="W198" s="15">
        <f t="shared" si="193"/>
        <v>11.396700000000001</v>
      </c>
      <c r="X198" s="15">
        <f t="shared" si="193"/>
        <v>11.09474</v>
      </c>
      <c r="Y198" s="15">
        <f t="shared" si="193"/>
        <v>13.529500000000001</v>
      </c>
      <c r="Z198" s="15">
        <f t="shared" si="193"/>
        <v>12.769500000000001</v>
      </c>
      <c r="AA198" s="15">
        <f t="shared" si="193"/>
        <v>13.56</v>
      </c>
      <c r="AB198" s="15">
        <f t="shared" si="193"/>
        <v>13.781000000000001</v>
      </c>
      <c r="AC198" s="15"/>
      <c r="AD198" s="21">
        <f>SUM(T198:AC198)</f>
        <v>85.504440000000002</v>
      </c>
    </row>
    <row r="199" spans="1:31" x14ac:dyDescent="0.3">
      <c r="A199" s="22"/>
      <c r="B199" s="2" t="s">
        <v>114</v>
      </c>
      <c r="C199" s="15"/>
      <c r="D199" s="15"/>
      <c r="E199" s="37">
        <v>15.910999999999998</v>
      </c>
      <c r="F199" s="15">
        <v>17.77</v>
      </c>
      <c r="G199" s="15">
        <v>19.481999999999999</v>
      </c>
      <c r="H199" s="15">
        <v>23.097000000000001</v>
      </c>
      <c r="I199" s="15">
        <v>21.784000000000002</v>
      </c>
      <c r="J199" s="15">
        <v>23.319000000000003</v>
      </c>
      <c r="K199" s="38">
        <v>27.059000000000001</v>
      </c>
      <c r="L199" s="15"/>
      <c r="M199" s="15"/>
      <c r="N199" s="15"/>
      <c r="O199" s="15"/>
      <c r="Q199" s="22"/>
      <c r="R199" s="22"/>
      <c r="S199" s="2" t="s">
        <v>114</v>
      </c>
      <c r="T199" s="15"/>
      <c r="U199" s="15"/>
      <c r="V199" s="15">
        <f t="shared" ref="V199:AB199" si="194">E199*E202</f>
        <v>7.9554999999999989</v>
      </c>
      <c r="W199" s="15">
        <f t="shared" si="194"/>
        <v>9.5958000000000006</v>
      </c>
      <c r="X199" s="15">
        <f t="shared" si="194"/>
        <v>8.9617199999999997</v>
      </c>
      <c r="Y199" s="15">
        <f t="shared" si="194"/>
        <v>11.548500000000001</v>
      </c>
      <c r="Z199" s="15">
        <f t="shared" si="194"/>
        <v>10.892000000000001</v>
      </c>
      <c r="AA199" s="15">
        <f t="shared" si="194"/>
        <v>11.659500000000001</v>
      </c>
      <c r="AB199" s="15">
        <f t="shared" si="194"/>
        <v>13.529500000000001</v>
      </c>
      <c r="AC199" s="15"/>
      <c r="AD199" s="21">
        <f>SUM(T199:AC199)</f>
        <v>74.142520000000005</v>
      </c>
    </row>
    <row r="200" spans="1:31" x14ac:dyDescent="0.3">
      <c r="A200" s="22"/>
      <c r="C200" s="15"/>
      <c r="D200" s="15"/>
      <c r="E200" s="37"/>
      <c r="F200" s="15"/>
      <c r="G200" s="15"/>
      <c r="H200" s="15"/>
      <c r="I200" s="15"/>
      <c r="J200" s="15"/>
      <c r="K200" s="38"/>
      <c r="L200" s="15"/>
      <c r="M200" s="15"/>
      <c r="N200" s="15"/>
      <c r="O200" s="15"/>
      <c r="Q200" s="22"/>
      <c r="R200" s="22"/>
      <c r="S200" s="1" t="s">
        <v>115</v>
      </c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33">
        <f>(AD197-AD198)/AD197*100</f>
        <v>2.1808756725144525</v>
      </c>
      <c r="AE200" s="25"/>
    </row>
    <row r="201" spans="1:31" x14ac:dyDescent="0.3">
      <c r="A201" s="22"/>
      <c r="C201" s="15"/>
      <c r="D201" s="15"/>
      <c r="E201" s="37"/>
      <c r="F201" s="15"/>
      <c r="G201" s="15"/>
      <c r="H201" s="15"/>
      <c r="I201" s="15"/>
      <c r="J201" s="15"/>
      <c r="K201" s="38"/>
      <c r="L201" s="15"/>
      <c r="M201" s="15"/>
      <c r="N201" s="15"/>
      <c r="O201" s="15"/>
      <c r="Q201" s="22"/>
      <c r="R201" s="22"/>
      <c r="S201" s="1" t="s">
        <v>103</v>
      </c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33">
        <f>AD197-AD199</f>
        <v>13.268239999999992</v>
      </c>
      <c r="AE201" s="25"/>
    </row>
    <row r="202" spans="1:31" ht="16.2" thickBot="1" x14ac:dyDescent="0.35">
      <c r="A202" s="22"/>
      <c r="B202" s="2" t="s">
        <v>32</v>
      </c>
      <c r="C202" s="15"/>
      <c r="D202" s="15"/>
      <c r="E202" s="40">
        <v>0.5</v>
      </c>
      <c r="F202" s="15">
        <v>0.54</v>
      </c>
      <c r="G202" s="15">
        <v>0.46</v>
      </c>
      <c r="H202" s="15">
        <v>0.5</v>
      </c>
      <c r="I202" s="15">
        <v>0.5</v>
      </c>
      <c r="J202" s="15">
        <v>0.5</v>
      </c>
      <c r="K202" s="41">
        <v>0.5</v>
      </c>
      <c r="L202" s="15"/>
      <c r="M202" s="15"/>
      <c r="N202" s="15"/>
      <c r="O202" s="15"/>
      <c r="P202" s="16"/>
      <c r="Q202" s="22"/>
      <c r="R202" s="22"/>
      <c r="S202" s="2" t="s">
        <v>97</v>
      </c>
      <c r="T202" s="219"/>
      <c r="U202" s="219"/>
      <c r="V202" s="219"/>
      <c r="W202" s="219"/>
      <c r="X202" s="219"/>
      <c r="Y202" s="219"/>
      <c r="Z202" s="219"/>
      <c r="AA202" s="219"/>
      <c r="AB202" s="219"/>
      <c r="AC202" s="219"/>
      <c r="AD202" s="39"/>
    </row>
    <row r="203" spans="1:31" ht="15.75" customHeight="1" x14ac:dyDescent="0.3">
      <c r="A203" s="216" t="s">
        <v>155</v>
      </c>
      <c r="B203" s="13" t="s">
        <v>98</v>
      </c>
      <c r="C203" s="14"/>
      <c r="D203" s="34">
        <v>3.5110000000000001</v>
      </c>
      <c r="E203" s="14">
        <v>3.5630000000000002</v>
      </c>
      <c r="F203" s="14">
        <v>3.387</v>
      </c>
      <c r="G203" s="14">
        <v>3.573</v>
      </c>
      <c r="H203" s="14">
        <v>3.4279999999999999</v>
      </c>
      <c r="I203" s="14">
        <v>3.51</v>
      </c>
      <c r="J203" s="35">
        <v>3.89</v>
      </c>
      <c r="K203" s="14"/>
      <c r="L203" s="14"/>
      <c r="M203" s="14"/>
      <c r="N203" s="15" t="s">
        <v>109</v>
      </c>
      <c r="O203" s="16">
        <f t="shared" ref="O203" si="195">COUNTIF(A203:L203, "&gt;0" )</f>
        <v>7</v>
      </c>
      <c r="Q203" s="216" t="s">
        <v>155</v>
      </c>
      <c r="R203" s="216" t="s">
        <v>2</v>
      </c>
      <c r="S203" s="36" t="s">
        <v>98</v>
      </c>
      <c r="T203" s="18"/>
      <c r="U203" s="18">
        <f t="shared" ref="U203:AA203" si="196">D203*D210</f>
        <v>1.6150600000000002</v>
      </c>
      <c r="V203" s="18">
        <f t="shared" si="196"/>
        <v>1.9240200000000003</v>
      </c>
      <c r="W203" s="18">
        <f t="shared" si="196"/>
        <v>1.5580200000000002</v>
      </c>
      <c r="X203" s="18">
        <f t="shared" si="196"/>
        <v>1.8579600000000001</v>
      </c>
      <c r="Y203" s="18">
        <f t="shared" si="196"/>
        <v>1.64544</v>
      </c>
      <c r="Z203" s="18">
        <f t="shared" si="196"/>
        <v>1.8251999999999999</v>
      </c>
      <c r="AA203" s="18">
        <f t="shared" si="196"/>
        <v>1.8672</v>
      </c>
      <c r="AB203" s="18"/>
      <c r="AC203" s="18"/>
      <c r="AD203" s="33">
        <f>SUM(T203:AC203)</f>
        <v>12.292900000000001</v>
      </c>
      <c r="AE203" s="25"/>
    </row>
    <row r="204" spans="1:31" ht="15.75" customHeight="1" x14ac:dyDescent="0.3">
      <c r="A204" s="217"/>
      <c r="B204" s="2" t="s">
        <v>110</v>
      </c>
      <c r="C204" s="15"/>
      <c r="D204" s="37" t="s">
        <v>128</v>
      </c>
      <c r="E204" s="15" t="s">
        <v>128</v>
      </c>
      <c r="F204" s="15" t="s">
        <v>128</v>
      </c>
      <c r="G204" s="15" t="s">
        <v>128</v>
      </c>
      <c r="H204" s="15" t="s">
        <v>128</v>
      </c>
      <c r="I204" s="15" t="s">
        <v>112</v>
      </c>
      <c r="J204" s="38" t="s">
        <v>112</v>
      </c>
      <c r="K204" s="15"/>
      <c r="L204" s="15"/>
      <c r="M204" s="15"/>
      <c r="N204" s="15" t="s">
        <v>105</v>
      </c>
      <c r="O204" s="15">
        <f t="shared" ref="O204" si="197">COUNTIF(A204:L204,"Cortex")</f>
        <v>0</v>
      </c>
      <c r="Q204" s="217"/>
      <c r="R204" s="217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21"/>
    </row>
    <row r="205" spans="1:31" ht="15.75" customHeight="1" x14ac:dyDescent="0.3">
      <c r="A205" s="217"/>
      <c r="B205" s="2" t="s">
        <v>99</v>
      </c>
      <c r="C205" s="15"/>
      <c r="D205" s="37">
        <v>18.227</v>
      </c>
      <c r="E205" s="15">
        <v>21.036999999999999</v>
      </c>
      <c r="F205" s="15">
        <v>23.198</v>
      </c>
      <c r="G205" s="15">
        <v>24.693000000000001</v>
      </c>
      <c r="H205" s="15">
        <v>24.838000000000001</v>
      </c>
      <c r="I205" s="15">
        <v>26.295000000000002</v>
      </c>
      <c r="J205" s="38">
        <v>27.064</v>
      </c>
      <c r="K205" s="15"/>
      <c r="L205" s="15"/>
      <c r="M205" s="15"/>
      <c r="N205" s="15" t="s">
        <v>106</v>
      </c>
      <c r="O205" s="15">
        <f t="shared" ref="O205" si="198">O203-O204</f>
        <v>7</v>
      </c>
      <c r="Q205" s="217"/>
      <c r="R205" s="217"/>
      <c r="S205" s="2" t="s">
        <v>99</v>
      </c>
      <c r="T205" s="15"/>
      <c r="U205" s="15">
        <f t="shared" ref="U205:AA205" si="199">D205*D210</f>
        <v>8.3844200000000004</v>
      </c>
      <c r="V205" s="15">
        <f t="shared" si="199"/>
        <v>11.35998</v>
      </c>
      <c r="W205" s="15">
        <f t="shared" si="199"/>
        <v>10.67108</v>
      </c>
      <c r="X205" s="15">
        <f t="shared" si="199"/>
        <v>12.84036</v>
      </c>
      <c r="Y205" s="15">
        <f t="shared" si="199"/>
        <v>11.92224</v>
      </c>
      <c r="Z205" s="15">
        <f t="shared" si="199"/>
        <v>13.673400000000001</v>
      </c>
      <c r="AA205" s="15">
        <f t="shared" si="199"/>
        <v>12.99072</v>
      </c>
      <c r="AB205" s="15"/>
      <c r="AC205" s="15"/>
      <c r="AD205" s="21">
        <f>SUM(T205:AC205)</f>
        <v>81.842200000000005</v>
      </c>
    </row>
    <row r="206" spans="1:31" ht="15.75" customHeight="1" x14ac:dyDescent="0.3">
      <c r="A206" s="217"/>
      <c r="B206" s="2" t="s">
        <v>100</v>
      </c>
      <c r="C206" s="15"/>
      <c r="D206" s="37">
        <v>18.042999999999999</v>
      </c>
      <c r="E206" s="15">
        <v>20.077000000000002</v>
      </c>
      <c r="F206" s="15">
        <v>20.846</v>
      </c>
      <c r="G206" s="15">
        <v>22.776</v>
      </c>
      <c r="H206" s="15">
        <v>24.297000000000001</v>
      </c>
      <c r="I206" s="15">
        <v>25.981000000000002</v>
      </c>
      <c r="J206" s="38">
        <v>27.225000000000001</v>
      </c>
      <c r="K206" s="15"/>
      <c r="L206" s="15"/>
      <c r="M206" s="15"/>
      <c r="N206" s="15" t="s">
        <v>113</v>
      </c>
      <c r="O206" s="16">
        <f t="shared" ref="O206" si="200">COUNTIF(A203:M203, "&gt;=0" )</f>
        <v>7</v>
      </c>
      <c r="Q206" s="217"/>
      <c r="R206" s="217"/>
      <c r="S206" s="2" t="s">
        <v>100</v>
      </c>
      <c r="T206" s="15"/>
      <c r="U206" s="15">
        <f t="shared" ref="U206:AA206" si="201">D206*D210</f>
        <v>8.2997800000000002</v>
      </c>
      <c r="V206" s="15">
        <f t="shared" si="201"/>
        <v>10.841580000000002</v>
      </c>
      <c r="W206" s="15">
        <f t="shared" si="201"/>
        <v>9.5891599999999997</v>
      </c>
      <c r="X206" s="15">
        <f t="shared" si="201"/>
        <v>11.84352</v>
      </c>
      <c r="Y206" s="15">
        <f t="shared" si="201"/>
        <v>11.662559999999999</v>
      </c>
      <c r="Z206" s="15">
        <f t="shared" si="201"/>
        <v>13.510120000000001</v>
      </c>
      <c r="AA206" s="15">
        <f t="shared" si="201"/>
        <v>13.068</v>
      </c>
      <c r="AB206" s="15"/>
      <c r="AC206" s="15"/>
      <c r="AD206" s="21">
        <f>SUM(T206:AC206)</f>
        <v>78.814720000000008</v>
      </c>
    </row>
    <row r="207" spans="1:31" x14ac:dyDescent="0.3">
      <c r="A207" s="22"/>
      <c r="B207" s="2" t="s">
        <v>114</v>
      </c>
      <c r="C207" s="15"/>
      <c r="D207" s="37">
        <v>14.532</v>
      </c>
      <c r="E207" s="15">
        <v>16.514000000000003</v>
      </c>
      <c r="F207" s="15">
        <v>17.459</v>
      </c>
      <c r="G207" s="15">
        <v>19.202999999999999</v>
      </c>
      <c r="H207" s="15">
        <v>20.869</v>
      </c>
      <c r="I207" s="15">
        <v>22.471000000000004</v>
      </c>
      <c r="J207" s="38">
        <v>23.335000000000001</v>
      </c>
      <c r="K207" s="15"/>
      <c r="L207" s="15"/>
      <c r="M207" s="15"/>
      <c r="N207" s="15"/>
      <c r="O207" s="15"/>
      <c r="Q207" s="22"/>
      <c r="R207" s="22"/>
      <c r="S207" s="2" t="s">
        <v>114</v>
      </c>
      <c r="T207" s="15"/>
      <c r="U207" s="15">
        <f t="shared" ref="U207:AA207" si="202">D207*D210</f>
        <v>6.6847200000000004</v>
      </c>
      <c r="V207" s="15">
        <f t="shared" si="202"/>
        <v>8.9175600000000017</v>
      </c>
      <c r="W207" s="15">
        <f t="shared" si="202"/>
        <v>8.0311400000000006</v>
      </c>
      <c r="X207" s="15">
        <f t="shared" si="202"/>
        <v>9.9855599999999995</v>
      </c>
      <c r="Y207" s="15">
        <f t="shared" si="202"/>
        <v>10.01712</v>
      </c>
      <c r="Z207" s="15">
        <f t="shared" si="202"/>
        <v>11.684920000000002</v>
      </c>
      <c r="AA207" s="15">
        <f t="shared" si="202"/>
        <v>11.200799999999999</v>
      </c>
      <c r="AB207" s="15"/>
      <c r="AC207" s="15"/>
      <c r="AD207" s="21">
        <f>SUM(T207:AC207)</f>
        <v>66.521820000000005</v>
      </c>
    </row>
    <row r="208" spans="1:31" x14ac:dyDescent="0.3">
      <c r="A208" s="22"/>
      <c r="C208" s="15"/>
      <c r="D208" s="37"/>
      <c r="E208" s="15"/>
      <c r="F208" s="15"/>
      <c r="G208" s="15"/>
      <c r="H208" s="15"/>
      <c r="I208" s="15"/>
      <c r="J208" s="38"/>
      <c r="K208" s="15"/>
      <c r="L208" s="15"/>
      <c r="M208" s="15"/>
      <c r="N208" s="15"/>
      <c r="O208" s="15"/>
      <c r="Q208" s="22"/>
      <c r="R208" s="22"/>
      <c r="S208" s="1" t="s">
        <v>115</v>
      </c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33">
        <f>(AD205-AD206)/AD205*100</f>
        <v>3.6991674221856168</v>
      </c>
      <c r="AE208" s="25"/>
    </row>
    <row r="209" spans="1:31" x14ac:dyDescent="0.3">
      <c r="A209" s="22"/>
      <c r="C209" s="15"/>
      <c r="D209" s="37"/>
      <c r="E209" s="15"/>
      <c r="F209" s="15"/>
      <c r="G209" s="15"/>
      <c r="H209" s="15"/>
      <c r="I209" s="15"/>
      <c r="J209" s="38"/>
      <c r="K209" s="15"/>
      <c r="L209" s="15"/>
      <c r="M209" s="15"/>
      <c r="N209" s="15"/>
      <c r="O209" s="15"/>
      <c r="Q209" s="22"/>
      <c r="R209" s="22"/>
      <c r="S209" s="1" t="s">
        <v>103</v>
      </c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33">
        <f>AD205-AD207</f>
        <v>15.32038</v>
      </c>
      <c r="AE209" s="25"/>
    </row>
    <row r="210" spans="1:31" ht="16.2" thickBot="1" x14ac:dyDescent="0.35">
      <c r="A210" s="22"/>
      <c r="B210" s="2" t="s">
        <v>32</v>
      </c>
      <c r="C210" s="15"/>
      <c r="D210" s="40">
        <v>0.46</v>
      </c>
      <c r="E210" s="15">
        <v>0.54</v>
      </c>
      <c r="F210" s="15">
        <v>0.46</v>
      </c>
      <c r="G210" s="15">
        <v>0.52</v>
      </c>
      <c r="H210" s="15">
        <v>0.48</v>
      </c>
      <c r="I210" s="15">
        <v>0.52</v>
      </c>
      <c r="J210" s="41">
        <v>0.48</v>
      </c>
      <c r="K210" s="15"/>
      <c r="L210" s="15"/>
      <c r="M210" s="15"/>
      <c r="N210" s="15"/>
      <c r="O210" s="15"/>
      <c r="P210" s="16"/>
      <c r="Q210" s="22"/>
      <c r="R210" s="22"/>
      <c r="S210" s="2" t="s">
        <v>97</v>
      </c>
      <c r="T210" s="219"/>
      <c r="U210" s="219"/>
      <c r="V210" s="219"/>
      <c r="W210" s="219"/>
      <c r="X210" s="219"/>
      <c r="Y210" s="219"/>
      <c r="Z210" s="219"/>
      <c r="AA210" s="219"/>
      <c r="AB210" s="219"/>
      <c r="AC210" s="219"/>
      <c r="AD210" s="39"/>
    </row>
    <row r="211" spans="1:31" ht="15.75" customHeight="1" x14ac:dyDescent="0.3">
      <c r="A211" s="216" t="s">
        <v>156</v>
      </c>
      <c r="B211" s="13" t="s">
        <v>98</v>
      </c>
      <c r="C211" s="14"/>
      <c r="D211" s="14"/>
      <c r="E211" s="34">
        <v>3.4319999999999999</v>
      </c>
      <c r="F211" s="14">
        <v>3.3260000000000001</v>
      </c>
      <c r="G211" s="14">
        <v>2.7309999999999999</v>
      </c>
      <c r="H211" s="14">
        <v>3.2440000000000002</v>
      </c>
      <c r="I211" s="14">
        <v>2.2170000000000001</v>
      </c>
      <c r="J211" s="14">
        <v>2.4550000000000001</v>
      </c>
      <c r="K211" s="35">
        <v>2.4590000000000001</v>
      </c>
      <c r="L211" s="14"/>
      <c r="M211" s="14"/>
      <c r="N211" s="15" t="s">
        <v>109</v>
      </c>
      <c r="O211" s="16">
        <f t="shared" ref="O211" si="203">COUNTIF(A211:L211, "&gt;0" )</f>
        <v>7</v>
      </c>
      <c r="Q211" s="216" t="s">
        <v>156</v>
      </c>
      <c r="R211" s="216" t="s">
        <v>2</v>
      </c>
      <c r="S211" s="36" t="s">
        <v>98</v>
      </c>
      <c r="T211" s="18"/>
      <c r="U211" s="18"/>
      <c r="V211" s="18">
        <f t="shared" ref="V211:AB211" si="204">E211*E218</f>
        <v>1.6473599999999999</v>
      </c>
      <c r="W211" s="18">
        <f t="shared" si="204"/>
        <v>1.5964799999999999</v>
      </c>
      <c r="X211" s="18">
        <f t="shared" si="204"/>
        <v>1.4747399999999999</v>
      </c>
      <c r="Y211" s="18">
        <f t="shared" si="204"/>
        <v>1.4922400000000002</v>
      </c>
      <c r="Z211" s="18">
        <f t="shared" si="204"/>
        <v>1.1971800000000001</v>
      </c>
      <c r="AA211" s="18">
        <f t="shared" si="204"/>
        <v>1.1293000000000002</v>
      </c>
      <c r="AB211" s="18">
        <f t="shared" si="204"/>
        <v>1.27868</v>
      </c>
      <c r="AC211" s="18"/>
      <c r="AD211" s="33">
        <f>SUM(T211:AC211)</f>
        <v>9.8159799999999997</v>
      </c>
      <c r="AE211" s="25"/>
    </row>
    <row r="212" spans="1:31" ht="15.75" customHeight="1" x14ac:dyDescent="0.3">
      <c r="A212" s="217"/>
      <c r="B212" s="2" t="s">
        <v>110</v>
      </c>
      <c r="C212" s="15"/>
      <c r="D212" s="15"/>
      <c r="E212" s="37" t="s">
        <v>111</v>
      </c>
      <c r="F212" s="15" t="s">
        <v>111</v>
      </c>
      <c r="G212" s="15" t="s">
        <v>111</v>
      </c>
      <c r="H212" s="15" t="s">
        <v>111</v>
      </c>
      <c r="I212" s="15" t="s">
        <v>111</v>
      </c>
      <c r="J212" s="15" t="s">
        <v>111</v>
      </c>
      <c r="K212" s="38" t="s">
        <v>111</v>
      </c>
      <c r="L212" s="15"/>
      <c r="M212" s="15"/>
      <c r="N212" s="15" t="s">
        <v>105</v>
      </c>
      <c r="O212" s="15">
        <f t="shared" ref="O212" si="205">COUNTIF(A212:L212,"Cortex")</f>
        <v>7</v>
      </c>
      <c r="Q212" s="217"/>
      <c r="R212" s="217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21"/>
    </row>
    <row r="213" spans="1:31" ht="15.75" customHeight="1" x14ac:dyDescent="0.3">
      <c r="A213" s="217"/>
      <c r="B213" s="2" t="s">
        <v>99</v>
      </c>
      <c r="C213" s="15"/>
      <c r="D213" s="15"/>
      <c r="E213" s="37">
        <v>17.446999999999999</v>
      </c>
      <c r="F213" s="15">
        <v>19.062000000000001</v>
      </c>
      <c r="G213" s="15">
        <v>20.913</v>
      </c>
      <c r="H213" s="15">
        <v>23.641000000000002</v>
      </c>
      <c r="I213" s="15">
        <v>25.291</v>
      </c>
      <c r="J213" s="15">
        <v>26.033000000000001</v>
      </c>
      <c r="K213" s="38">
        <v>27.93</v>
      </c>
      <c r="L213" s="15"/>
      <c r="M213" s="15"/>
      <c r="N213" s="15" t="s">
        <v>106</v>
      </c>
      <c r="O213" s="15">
        <f t="shared" ref="O213" si="206">O211-O212</f>
        <v>0</v>
      </c>
      <c r="Q213" s="217"/>
      <c r="R213" s="217"/>
      <c r="S213" s="2" t="s">
        <v>99</v>
      </c>
      <c r="T213" s="15"/>
      <c r="U213" s="15"/>
      <c r="V213" s="15">
        <f t="shared" ref="V213:AB213" si="207">E213*E218</f>
        <v>8.3745599999999989</v>
      </c>
      <c r="W213" s="15">
        <f t="shared" si="207"/>
        <v>9.1497600000000006</v>
      </c>
      <c r="X213" s="15">
        <f t="shared" si="207"/>
        <v>11.29302</v>
      </c>
      <c r="Y213" s="15">
        <f t="shared" si="207"/>
        <v>10.874860000000002</v>
      </c>
      <c r="Z213" s="15">
        <f t="shared" si="207"/>
        <v>13.657140000000002</v>
      </c>
      <c r="AA213" s="15">
        <f t="shared" si="207"/>
        <v>11.975180000000002</v>
      </c>
      <c r="AB213" s="15">
        <f t="shared" si="207"/>
        <v>14.5236</v>
      </c>
      <c r="AC213" s="15"/>
      <c r="AD213" s="21">
        <f>SUM(T213:AC213)</f>
        <v>79.848120000000009</v>
      </c>
    </row>
    <row r="214" spans="1:31" ht="15.75" customHeight="1" x14ac:dyDescent="0.3">
      <c r="A214" s="217"/>
      <c r="B214" s="2" t="s">
        <v>100</v>
      </c>
      <c r="C214" s="15"/>
      <c r="D214" s="15"/>
      <c r="E214" s="37">
        <v>17.155999999999999</v>
      </c>
      <c r="F214" s="15">
        <v>19.423999999999999</v>
      </c>
      <c r="G214" s="15">
        <v>21.864999999999998</v>
      </c>
      <c r="H214" s="15">
        <v>23.949000000000002</v>
      </c>
      <c r="I214" s="15">
        <v>25.238</v>
      </c>
      <c r="J214" s="15">
        <v>27.009</v>
      </c>
      <c r="K214" s="38">
        <v>28.274000000000001</v>
      </c>
      <c r="L214" s="15"/>
      <c r="M214" s="15"/>
      <c r="N214" s="15" t="s">
        <v>113</v>
      </c>
      <c r="O214" s="16">
        <f t="shared" ref="O214" si="208">COUNTIF(A211:M211, "&gt;=0" )</f>
        <v>7</v>
      </c>
      <c r="Q214" s="217"/>
      <c r="R214" s="217"/>
      <c r="S214" s="2" t="s">
        <v>100</v>
      </c>
      <c r="T214" s="15"/>
      <c r="U214" s="15"/>
      <c r="V214" s="15">
        <f t="shared" ref="V214:AB214" si="209">E214*E218</f>
        <v>8.2348799999999986</v>
      </c>
      <c r="W214" s="15">
        <f t="shared" si="209"/>
        <v>9.3235200000000003</v>
      </c>
      <c r="X214" s="15">
        <f t="shared" si="209"/>
        <v>11.8071</v>
      </c>
      <c r="Y214" s="15">
        <f t="shared" si="209"/>
        <v>11.016540000000001</v>
      </c>
      <c r="Z214" s="15">
        <f t="shared" si="209"/>
        <v>13.62852</v>
      </c>
      <c r="AA214" s="15">
        <f t="shared" si="209"/>
        <v>12.424140000000001</v>
      </c>
      <c r="AB214" s="15">
        <f t="shared" si="209"/>
        <v>14.702480000000001</v>
      </c>
      <c r="AC214" s="15"/>
      <c r="AD214" s="21">
        <f>SUM(T214:AC214)</f>
        <v>81.137180000000001</v>
      </c>
    </row>
    <row r="215" spans="1:31" x14ac:dyDescent="0.3">
      <c r="A215" s="22"/>
      <c r="B215" s="2" t="s">
        <v>114</v>
      </c>
      <c r="C215" s="15"/>
      <c r="D215" s="15"/>
      <c r="E215" s="37">
        <v>13.723999999999998</v>
      </c>
      <c r="F215" s="15">
        <v>16.097999999999999</v>
      </c>
      <c r="G215" s="15">
        <v>19.134</v>
      </c>
      <c r="H215" s="15">
        <v>20.705000000000002</v>
      </c>
      <c r="I215" s="15">
        <v>23.021000000000001</v>
      </c>
      <c r="J215" s="15">
        <v>24.554000000000002</v>
      </c>
      <c r="K215" s="38">
        <v>25.815000000000001</v>
      </c>
      <c r="L215" s="15"/>
      <c r="M215" s="15"/>
      <c r="N215" s="15"/>
      <c r="O215" s="15"/>
      <c r="Q215" s="22"/>
      <c r="R215" s="22"/>
      <c r="S215" s="2" t="s">
        <v>114</v>
      </c>
      <c r="T215" s="15"/>
      <c r="U215" s="15"/>
      <c r="V215" s="15">
        <f t="shared" ref="V215:AB215" si="210">E215*E218</f>
        <v>6.5875199999999987</v>
      </c>
      <c r="W215" s="15">
        <f t="shared" si="210"/>
        <v>7.7270399999999988</v>
      </c>
      <c r="X215" s="15">
        <f t="shared" si="210"/>
        <v>10.332360000000001</v>
      </c>
      <c r="Y215" s="15">
        <f t="shared" si="210"/>
        <v>9.524300000000002</v>
      </c>
      <c r="Z215" s="15">
        <f t="shared" si="210"/>
        <v>12.431340000000001</v>
      </c>
      <c r="AA215" s="15">
        <f t="shared" si="210"/>
        <v>11.294840000000001</v>
      </c>
      <c r="AB215" s="15">
        <f t="shared" si="210"/>
        <v>13.423800000000002</v>
      </c>
      <c r="AC215" s="15"/>
      <c r="AD215" s="21">
        <f>SUM(T215:AC215)</f>
        <v>71.321200000000005</v>
      </c>
    </row>
    <row r="216" spans="1:31" x14ac:dyDescent="0.3">
      <c r="A216" s="22"/>
      <c r="C216" s="15"/>
      <c r="D216" s="15"/>
      <c r="E216" s="37"/>
      <c r="F216" s="15"/>
      <c r="G216" s="15"/>
      <c r="H216" s="15"/>
      <c r="I216" s="15"/>
      <c r="J216" s="15"/>
      <c r="K216" s="38"/>
      <c r="L216" s="15"/>
      <c r="M216" s="15"/>
      <c r="N216" s="15"/>
      <c r="O216" s="15"/>
      <c r="Q216" s="22"/>
      <c r="R216" s="22"/>
      <c r="S216" s="1" t="s">
        <v>115</v>
      </c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33">
        <f>(AD213-AD214)/AD213*100</f>
        <v>-1.6143899192617082</v>
      </c>
      <c r="AE216" s="25"/>
    </row>
    <row r="217" spans="1:31" x14ac:dyDescent="0.3">
      <c r="A217" s="22"/>
      <c r="C217" s="15"/>
      <c r="D217" s="15"/>
      <c r="E217" s="37"/>
      <c r="F217" s="15"/>
      <c r="G217" s="15"/>
      <c r="H217" s="15"/>
      <c r="I217" s="15"/>
      <c r="J217" s="15"/>
      <c r="K217" s="38"/>
      <c r="L217" s="15"/>
      <c r="M217" s="15"/>
      <c r="N217" s="15"/>
      <c r="O217" s="15"/>
      <c r="Q217" s="22"/>
      <c r="R217" s="22"/>
      <c r="S217" s="1" t="s">
        <v>103</v>
      </c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33">
        <f>AD213-AD215</f>
        <v>8.5269200000000041</v>
      </c>
      <c r="AE217" s="25"/>
    </row>
    <row r="218" spans="1:31" ht="16.2" thickBot="1" x14ac:dyDescent="0.35">
      <c r="A218" s="22"/>
      <c r="B218" s="2" t="s">
        <v>32</v>
      </c>
      <c r="C218" s="15"/>
      <c r="D218" s="15"/>
      <c r="E218" s="37">
        <v>0.48</v>
      </c>
      <c r="F218" s="15">
        <v>0.48</v>
      </c>
      <c r="G218" s="15">
        <v>0.54</v>
      </c>
      <c r="H218" s="15">
        <v>0.46</v>
      </c>
      <c r="I218" s="15">
        <v>0.54</v>
      </c>
      <c r="J218" s="15">
        <v>0.46</v>
      </c>
      <c r="K218" s="38">
        <v>0.52</v>
      </c>
      <c r="L218" s="15"/>
      <c r="M218" s="15"/>
      <c r="N218" s="15"/>
      <c r="O218" s="15"/>
      <c r="P218" s="16"/>
      <c r="Q218" s="22"/>
      <c r="R218" s="22"/>
      <c r="S218" s="2" t="s">
        <v>97</v>
      </c>
      <c r="T218" s="219"/>
      <c r="U218" s="219"/>
      <c r="V218" s="219"/>
      <c r="W218" s="219"/>
      <c r="X218" s="219"/>
      <c r="Y218" s="219"/>
      <c r="Z218" s="219"/>
      <c r="AA218" s="219"/>
      <c r="AB218" s="219"/>
      <c r="AC218" s="219"/>
      <c r="AD218" s="39"/>
    </row>
    <row r="219" spans="1:31" ht="15.75" customHeight="1" x14ac:dyDescent="0.3">
      <c r="A219" s="216" t="s">
        <v>157</v>
      </c>
      <c r="B219" s="13" t="s">
        <v>98</v>
      </c>
      <c r="C219" s="14"/>
      <c r="D219" s="14"/>
      <c r="E219" s="34">
        <v>1.992</v>
      </c>
      <c r="F219" s="14">
        <v>2.5819999999999999</v>
      </c>
      <c r="G219" s="14">
        <v>2.6320000000000001</v>
      </c>
      <c r="H219" s="14">
        <v>2.835</v>
      </c>
      <c r="I219" s="14">
        <v>2.5830000000000002</v>
      </c>
      <c r="J219" s="14">
        <v>2.1850000000000001</v>
      </c>
      <c r="K219" s="35">
        <v>1.708</v>
      </c>
      <c r="L219" s="14"/>
      <c r="M219" s="14"/>
      <c r="N219" s="15" t="s">
        <v>109</v>
      </c>
      <c r="O219" s="16">
        <f t="shared" ref="O219" si="211">COUNTIF(A219:L219, "&gt;0" )</f>
        <v>7</v>
      </c>
      <c r="Q219" s="216" t="s">
        <v>157</v>
      </c>
      <c r="R219" s="216" t="s">
        <v>2</v>
      </c>
      <c r="S219" s="36" t="s">
        <v>98</v>
      </c>
      <c r="T219" s="18"/>
      <c r="U219" s="18"/>
      <c r="V219" s="18">
        <f t="shared" ref="V219:AB219" si="212">E219*E226</f>
        <v>0.996</v>
      </c>
      <c r="W219" s="18">
        <f t="shared" si="212"/>
        <v>1.2909999999999999</v>
      </c>
      <c r="X219" s="18">
        <f t="shared" si="212"/>
        <v>1.3160000000000001</v>
      </c>
      <c r="Y219" s="18">
        <f t="shared" si="212"/>
        <v>1.4742</v>
      </c>
      <c r="Z219" s="18">
        <f t="shared" si="212"/>
        <v>1.2398400000000001</v>
      </c>
      <c r="AA219" s="18">
        <f t="shared" si="212"/>
        <v>1.1799000000000002</v>
      </c>
      <c r="AB219" s="18">
        <f t="shared" si="212"/>
        <v>0.99063999999999997</v>
      </c>
      <c r="AC219" s="18"/>
      <c r="AD219" s="33">
        <f>SUM(T219:AC219)</f>
        <v>8.4875799999999995</v>
      </c>
      <c r="AE219" s="25"/>
    </row>
    <row r="220" spans="1:31" ht="15.75" customHeight="1" x14ac:dyDescent="0.3">
      <c r="A220" s="217"/>
      <c r="B220" s="2" t="s">
        <v>110</v>
      </c>
      <c r="C220" s="15"/>
      <c r="D220" s="15"/>
      <c r="E220" s="37" t="s">
        <v>111</v>
      </c>
      <c r="F220" s="15" t="s">
        <v>111</v>
      </c>
      <c r="G220" s="15" t="s">
        <v>112</v>
      </c>
      <c r="H220" s="15" t="s">
        <v>112</v>
      </c>
      <c r="I220" s="15" t="s">
        <v>111</v>
      </c>
      <c r="J220" s="15" t="s">
        <v>111</v>
      </c>
      <c r="K220" s="38" t="s">
        <v>111</v>
      </c>
      <c r="L220" s="15"/>
      <c r="M220" s="15"/>
      <c r="N220" s="15" t="s">
        <v>105</v>
      </c>
      <c r="O220" s="15">
        <f t="shared" ref="O220" si="213">COUNTIF(A220:L220,"Cortex")</f>
        <v>5</v>
      </c>
      <c r="Q220" s="217"/>
      <c r="R220" s="217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21"/>
    </row>
    <row r="221" spans="1:31" ht="15.75" customHeight="1" x14ac:dyDescent="0.3">
      <c r="A221" s="217"/>
      <c r="B221" s="2" t="s">
        <v>99</v>
      </c>
      <c r="C221" s="15"/>
      <c r="D221" s="15"/>
      <c r="E221" s="37">
        <v>18.073</v>
      </c>
      <c r="F221" s="15">
        <v>20.611999999999998</v>
      </c>
      <c r="G221" s="15">
        <v>23.438000000000002</v>
      </c>
      <c r="H221" s="15">
        <v>25.227</v>
      </c>
      <c r="I221" s="15">
        <v>26.062999999999999</v>
      </c>
      <c r="J221" s="15">
        <v>27.559000000000001</v>
      </c>
      <c r="K221" s="38">
        <v>27.013000000000002</v>
      </c>
      <c r="L221" s="15"/>
      <c r="M221" s="15"/>
      <c r="N221" s="15" t="s">
        <v>106</v>
      </c>
      <c r="O221" s="15">
        <f t="shared" ref="O221" si="214">O219-O220</f>
        <v>2</v>
      </c>
      <c r="Q221" s="217"/>
      <c r="R221" s="217"/>
      <c r="S221" s="2" t="s">
        <v>99</v>
      </c>
      <c r="T221" s="15"/>
      <c r="U221" s="15"/>
      <c r="V221" s="15">
        <f t="shared" ref="V221:AB221" si="215">E221*E226</f>
        <v>9.0365000000000002</v>
      </c>
      <c r="W221" s="15">
        <f t="shared" si="215"/>
        <v>10.305999999999999</v>
      </c>
      <c r="X221" s="15">
        <f t="shared" si="215"/>
        <v>11.719000000000001</v>
      </c>
      <c r="Y221" s="15">
        <f t="shared" si="215"/>
        <v>13.118040000000001</v>
      </c>
      <c r="Z221" s="15">
        <f t="shared" si="215"/>
        <v>12.51024</v>
      </c>
      <c r="AA221" s="15">
        <f t="shared" si="215"/>
        <v>14.881860000000001</v>
      </c>
      <c r="AB221" s="15">
        <f t="shared" si="215"/>
        <v>15.667540000000001</v>
      </c>
      <c r="AC221" s="15"/>
      <c r="AD221" s="21">
        <f>SUM(T221:AC221)</f>
        <v>87.239180000000005</v>
      </c>
    </row>
    <row r="222" spans="1:31" ht="15.75" customHeight="1" x14ac:dyDescent="0.3">
      <c r="A222" s="217"/>
      <c r="B222" s="2" t="s">
        <v>100</v>
      </c>
      <c r="C222" s="15"/>
      <c r="D222" s="15"/>
      <c r="E222" s="37">
        <v>17.033999999999999</v>
      </c>
      <c r="F222" s="15">
        <v>18.736000000000001</v>
      </c>
      <c r="G222" s="15">
        <v>20.959</v>
      </c>
      <c r="H222" s="15">
        <v>22.888999999999999</v>
      </c>
      <c r="I222" s="15">
        <v>23.492999999999999</v>
      </c>
      <c r="J222" s="15">
        <v>24.65</v>
      </c>
      <c r="K222" s="38">
        <v>24.763999999999999</v>
      </c>
      <c r="L222" s="15"/>
      <c r="M222" s="15"/>
      <c r="N222" s="15" t="s">
        <v>113</v>
      </c>
      <c r="O222" s="16">
        <f t="shared" ref="O222" si="216">COUNTIF(A219:M219, "&gt;=0" )</f>
        <v>7</v>
      </c>
      <c r="Q222" s="217"/>
      <c r="R222" s="217"/>
      <c r="S222" s="2" t="s">
        <v>100</v>
      </c>
      <c r="T222" s="15"/>
      <c r="U222" s="15"/>
      <c r="V222" s="15">
        <f t="shared" ref="V222:AB222" si="217">E222*E226</f>
        <v>8.5169999999999995</v>
      </c>
      <c r="W222" s="15">
        <f t="shared" si="217"/>
        <v>9.3680000000000003</v>
      </c>
      <c r="X222" s="15">
        <f t="shared" si="217"/>
        <v>10.4795</v>
      </c>
      <c r="Y222" s="15">
        <f t="shared" si="217"/>
        <v>11.902279999999999</v>
      </c>
      <c r="Z222" s="15">
        <f t="shared" si="217"/>
        <v>11.276639999999999</v>
      </c>
      <c r="AA222" s="15">
        <f t="shared" si="217"/>
        <v>13.311</v>
      </c>
      <c r="AB222" s="15">
        <f t="shared" si="217"/>
        <v>14.363119999999999</v>
      </c>
      <c r="AC222" s="15"/>
      <c r="AD222" s="21">
        <f>SUM(T222:AC222)</f>
        <v>79.21754</v>
      </c>
    </row>
    <row r="223" spans="1:31" x14ac:dyDescent="0.3">
      <c r="A223" s="22"/>
      <c r="B223" s="2" t="s">
        <v>114</v>
      </c>
      <c r="C223" s="15"/>
      <c r="D223" s="15"/>
      <c r="E223" s="37">
        <v>15.041999999999998</v>
      </c>
      <c r="F223" s="15">
        <v>16.154</v>
      </c>
      <c r="G223" s="15">
        <v>18.326999999999998</v>
      </c>
      <c r="H223" s="15">
        <v>20.053999999999998</v>
      </c>
      <c r="I223" s="15">
        <v>20.909999999999997</v>
      </c>
      <c r="J223" s="15">
        <v>22.465</v>
      </c>
      <c r="K223" s="38">
        <v>23.056000000000001</v>
      </c>
      <c r="L223" s="15"/>
      <c r="M223" s="15"/>
      <c r="N223" s="15"/>
      <c r="O223" s="15"/>
      <c r="Q223" s="22"/>
      <c r="R223" s="22"/>
      <c r="S223" s="2" t="s">
        <v>114</v>
      </c>
      <c r="T223" s="15"/>
      <c r="U223" s="15"/>
      <c r="V223" s="15">
        <f t="shared" ref="V223:AB223" si="218">E223*E226</f>
        <v>7.520999999999999</v>
      </c>
      <c r="W223" s="15">
        <f t="shared" si="218"/>
        <v>8.077</v>
      </c>
      <c r="X223" s="15">
        <f t="shared" si="218"/>
        <v>9.1634999999999991</v>
      </c>
      <c r="Y223" s="15">
        <f t="shared" si="218"/>
        <v>10.42808</v>
      </c>
      <c r="Z223" s="15">
        <f t="shared" si="218"/>
        <v>10.036799999999998</v>
      </c>
      <c r="AA223" s="15">
        <f t="shared" si="218"/>
        <v>12.1311</v>
      </c>
      <c r="AB223" s="15">
        <f t="shared" si="218"/>
        <v>13.372479999999999</v>
      </c>
      <c r="AC223" s="15"/>
      <c r="AD223" s="21">
        <f>SUM(T223:AC223)</f>
        <v>70.729959999999991</v>
      </c>
    </row>
    <row r="224" spans="1:31" x14ac:dyDescent="0.3">
      <c r="A224" s="22"/>
      <c r="C224" s="15"/>
      <c r="D224" s="15"/>
      <c r="E224" s="37"/>
      <c r="F224" s="15"/>
      <c r="G224" s="15"/>
      <c r="H224" s="15"/>
      <c r="I224" s="15"/>
      <c r="J224" s="15"/>
      <c r="K224" s="38"/>
      <c r="L224" s="15"/>
      <c r="M224" s="15"/>
      <c r="N224" s="15"/>
      <c r="O224" s="15"/>
      <c r="Q224" s="22"/>
      <c r="R224" s="22"/>
      <c r="S224" s="1" t="s">
        <v>115</v>
      </c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33">
        <f>(AD221-AD222)/AD221*100</f>
        <v>9.1949970185414447</v>
      </c>
      <c r="AE224" s="25"/>
    </row>
    <row r="225" spans="1:31" x14ac:dyDescent="0.3">
      <c r="A225" s="22"/>
      <c r="C225" s="15"/>
      <c r="D225" s="15"/>
      <c r="E225" s="37"/>
      <c r="F225" s="15"/>
      <c r="G225" s="15"/>
      <c r="H225" s="15"/>
      <c r="I225" s="15"/>
      <c r="J225" s="15"/>
      <c r="K225" s="38"/>
      <c r="L225" s="15"/>
      <c r="M225" s="15"/>
      <c r="N225" s="15"/>
      <c r="O225" s="15"/>
      <c r="Q225" s="22"/>
      <c r="R225" s="22"/>
      <c r="S225" s="1" t="s">
        <v>103</v>
      </c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33">
        <f>AD221-AD223</f>
        <v>16.509220000000013</v>
      </c>
      <c r="AE225" s="25"/>
    </row>
    <row r="226" spans="1:31" ht="16.2" thickBot="1" x14ac:dyDescent="0.35">
      <c r="A226" s="22"/>
      <c r="B226" s="2" t="s">
        <v>32</v>
      </c>
      <c r="C226" s="15"/>
      <c r="D226" s="15"/>
      <c r="E226" s="37">
        <v>0.5</v>
      </c>
      <c r="F226" s="15">
        <v>0.5</v>
      </c>
      <c r="G226" s="15">
        <v>0.5</v>
      </c>
      <c r="H226" s="15">
        <v>0.52</v>
      </c>
      <c r="I226" s="15">
        <v>0.48</v>
      </c>
      <c r="J226" s="15">
        <v>0.54</v>
      </c>
      <c r="K226" s="38">
        <v>0.57999999999999996</v>
      </c>
      <c r="L226" s="15"/>
      <c r="M226" s="15"/>
      <c r="N226" s="15"/>
      <c r="O226" s="15"/>
      <c r="P226" s="16"/>
      <c r="Q226" s="22"/>
      <c r="R226" s="22"/>
      <c r="S226" s="2" t="s">
        <v>97</v>
      </c>
      <c r="T226" s="219"/>
      <c r="U226" s="219"/>
      <c r="V226" s="219"/>
      <c r="W226" s="219"/>
      <c r="X226" s="219"/>
      <c r="Y226" s="219"/>
      <c r="Z226" s="219"/>
      <c r="AA226" s="219"/>
      <c r="AB226" s="219"/>
      <c r="AC226" s="219"/>
      <c r="AD226" s="39"/>
    </row>
    <row r="227" spans="1:31" ht="15.75" customHeight="1" x14ac:dyDescent="0.3">
      <c r="A227" s="216" t="s">
        <v>158</v>
      </c>
      <c r="B227" s="13" t="s">
        <v>98</v>
      </c>
      <c r="C227" s="14"/>
      <c r="D227" s="14"/>
      <c r="E227" s="34">
        <v>0.89800000000000002</v>
      </c>
      <c r="F227" s="14">
        <v>2.9670000000000001</v>
      </c>
      <c r="G227" s="14">
        <v>3.7909999999999999</v>
      </c>
      <c r="H227" s="14">
        <v>4.1840000000000002</v>
      </c>
      <c r="I227" s="14">
        <v>4.2149999999999999</v>
      </c>
      <c r="J227" s="14">
        <v>4.0780000000000003</v>
      </c>
      <c r="K227" s="35">
        <v>3.774</v>
      </c>
      <c r="L227" s="14"/>
      <c r="M227" s="14"/>
      <c r="N227" s="15" t="s">
        <v>109</v>
      </c>
      <c r="O227" s="16">
        <f t="shared" ref="O227" si="219">COUNTIF(A227:L227, "&gt;0" )</f>
        <v>7</v>
      </c>
      <c r="Q227" s="216" t="s">
        <v>158</v>
      </c>
      <c r="R227" s="216" t="s">
        <v>2</v>
      </c>
      <c r="S227" s="36" t="s">
        <v>98</v>
      </c>
      <c r="T227" s="18"/>
      <c r="U227" s="18"/>
      <c r="V227" s="18">
        <f t="shared" ref="V227:AB227" si="220">E227*E234</f>
        <v>0.43103999999999998</v>
      </c>
      <c r="W227" s="18">
        <f t="shared" si="220"/>
        <v>1.3648200000000001</v>
      </c>
      <c r="X227" s="18">
        <f t="shared" si="220"/>
        <v>1.97132</v>
      </c>
      <c r="Y227" s="18">
        <f t="shared" si="220"/>
        <v>2.42672</v>
      </c>
      <c r="Z227" s="18">
        <f t="shared" si="220"/>
        <v>1.6859999999999999</v>
      </c>
      <c r="AA227" s="18">
        <f t="shared" si="220"/>
        <v>2.2021200000000003</v>
      </c>
      <c r="AB227" s="18">
        <f t="shared" si="220"/>
        <v>1.887</v>
      </c>
      <c r="AC227" s="18"/>
      <c r="AD227" s="33">
        <f>SUM(T227:AC227)</f>
        <v>11.96902</v>
      </c>
      <c r="AE227" s="25"/>
    </row>
    <row r="228" spans="1:31" ht="15.75" customHeight="1" x14ac:dyDescent="0.3">
      <c r="A228" s="217"/>
      <c r="B228" s="2" t="s">
        <v>110</v>
      </c>
      <c r="C228" s="15"/>
      <c r="D228" s="15"/>
      <c r="E228" s="37" t="s">
        <v>111</v>
      </c>
      <c r="F228" s="15" t="s">
        <v>111</v>
      </c>
      <c r="G228" s="15" t="s">
        <v>111</v>
      </c>
      <c r="H228" s="15" t="s">
        <v>111</v>
      </c>
      <c r="I228" s="15" t="s">
        <v>111</v>
      </c>
      <c r="J228" s="15" t="s">
        <v>112</v>
      </c>
      <c r="K228" s="38" t="s">
        <v>112</v>
      </c>
      <c r="L228" s="15"/>
      <c r="M228" s="15"/>
      <c r="N228" s="15" t="s">
        <v>105</v>
      </c>
      <c r="O228" s="15">
        <f t="shared" ref="O228" si="221">COUNTIF(A228:L228,"Cortex")</f>
        <v>5</v>
      </c>
      <c r="Q228" s="217"/>
      <c r="R228" s="217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21"/>
    </row>
    <row r="229" spans="1:31" ht="17.25" customHeight="1" x14ac:dyDescent="0.3">
      <c r="A229" s="217"/>
      <c r="B229" s="2" t="s">
        <v>99</v>
      </c>
      <c r="C229" s="15"/>
      <c r="D229" s="15"/>
      <c r="E229" s="37">
        <v>17.992000000000001</v>
      </c>
      <c r="F229" s="15">
        <v>19.669</v>
      </c>
      <c r="G229" s="15">
        <v>20.466999999999999</v>
      </c>
      <c r="H229" s="15">
        <v>22.827999999999999</v>
      </c>
      <c r="I229" s="15">
        <v>24.114000000000001</v>
      </c>
      <c r="J229" s="15">
        <v>24.984999999999999</v>
      </c>
      <c r="K229" s="38">
        <v>25.091999999999999</v>
      </c>
      <c r="L229" s="15"/>
      <c r="M229" s="15"/>
      <c r="N229" s="15" t="s">
        <v>106</v>
      </c>
      <c r="O229" s="15">
        <f t="shared" ref="O229" si="222">O227-O228</f>
        <v>2</v>
      </c>
      <c r="Q229" s="217"/>
      <c r="R229" s="217"/>
      <c r="S229" s="2" t="s">
        <v>99</v>
      </c>
      <c r="T229" s="15"/>
      <c r="U229" s="15"/>
      <c r="V229" s="15">
        <f t="shared" ref="V229:AB229" si="223">E229*E234</f>
        <v>8.6361600000000003</v>
      </c>
      <c r="W229" s="15">
        <f t="shared" si="223"/>
        <v>9.047740000000001</v>
      </c>
      <c r="X229" s="15">
        <f t="shared" si="223"/>
        <v>10.64284</v>
      </c>
      <c r="Y229" s="15">
        <f t="shared" si="223"/>
        <v>13.240239999999998</v>
      </c>
      <c r="Z229" s="15">
        <f t="shared" si="223"/>
        <v>9.6456000000000017</v>
      </c>
      <c r="AA229" s="15">
        <f t="shared" si="223"/>
        <v>13.491900000000001</v>
      </c>
      <c r="AB229" s="15">
        <f t="shared" si="223"/>
        <v>12.545999999999999</v>
      </c>
      <c r="AC229" s="15"/>
      <c r="AD229" s="21">
        <f>SUM(T229:AC229)</f>
        <v>77.25048000000001</v>
      </c>
    </row>
    <row r="230" spans="1:31" ht="15.75" customHeight="1" x14ac:dyDescent="0.3">
      <c r="A230" s="217"/>
      <c r="B230" s="2" t="s">
        <v>100</v>
      </c>
      <c r="C230" s="15"/>
      <c r="D230" s="15"/>
      <c r="E230" s="37">
        <v>19.408000000000001</v>
      </c>
      <c r="F230" s="15">
        <v>21.504999999999999</v>
      </c>
      <c r="G230" s="15">
        <v>23.120999999999999</v>
      </c>
      <c r="H230" s="15">
        <v>24.067</v>
      </c>
      <c r="I230" s="15">
        <v>24.633000000000003</v>
      </c>
      <c r="J230" s="15">
        <v>24.905999999999999</v>
      </c>
      <c r="K230" s="38">
        <v>25.416</v>
      </c>
      <c r="L230" s="15"/>
      <c r="M230" s="15"/>
      <c r="N230" s="15" t="s">
        <v>113</v>
      </c>
      <c r="O230" s="16">
        <f t="shared" ref="O230" si="224">COUNTIF(A227:M227, "&gt;=0" )</f>
        <v>7</v>
      </c>
      <c r="Q230" s="217"/>
      <c r="R230" s="217"/>
      <c r="S230" s="2" t="s">
        <v>100</v>
      </c>
      <c r="T230" s="15"/>
      <c r="U230" s="15"/>
      <c r="V230" s="15">
        <f t="shared" ref="V230:AB230" si="225">E230*E234</f>
        <v>9.3158399999999997</v>
      </c>
      <c r="W230" s="15">
        <f t="shared" si="225"/>
        <v>9.8923000000000005</v>
      </c>
      <c r="X230" s="15">
        <f t="shared" si="225"/>
        <v>12.022919999999999</v>
      </c>
      <c r="Y230" s="15">
        <f t="shared" si="225"/>
        <v>13.95886</v>
      </c>
      <c r="Z230" s="15">
        <f t="shared" si="225"/>
        <v>9.8532000000000011</v>
      </c>
      <c r="AA230" s="15">
        <f t="shared" si="225"/>
        <v>13.44924</v>
      </c>
      <c r="AB230" s="15">
        <f t="shared" si="225"/>
        <v>12.708</v>
      </c>
      <c r="AC230" s="15"/>
      <c r="AD230" s="21">
        <f>SUM(T230:AC230)</f>
        <v>81.200360000000003</v>
      </c>
    </row>
    <row r="231" spans="1:31" x14ac:dyDescent="0.3">
      <c r="A231" s="22"/>
      <c r="B231" s="2" t="s">
        <v>114</v>
      </c>
      <c r="C231" s="15"/>
      <c r="D231" s="15"/>
      <c r="E231" s="37">
        <v>18.510000000000002</v>
      </c>
      <c r="F231" s="15">
        <v>18.538</v>
      </c>
      <c r="G231" s="15">
        <v>19.329999999999998</v>
      </c>
      <c r="H231" s="15">
        <v>19.882999999999999</v>
      </c>
      <c r="I231" s="15">
        <v>20.418000000000003</v>
      </c>
      <c r="J231" s="15">
        <v>20.827999999999999</v>
      </c>
      <c r="K231" s="38">
        <v>21.641999999999999</v>
      </c>
      <c r="L231" s="15"/>
      <c r="M231" s="15"/>
      <c r="N231" s="15"/>
      <c r="O231" s="15"/>
      <c r="Q231" s="22"/>
      <c r="R231" s="22"/>
      <c r="S231" s="2" t="s">
        <v>114</v>
      </c>
      <c r="T231" s="15"/>
      <c r="U231" s="15"/>
      <c r="V231" s="15">
        <f t="shared" ref="V231:AB231" si="226">E231*E234</f>
        <v>8.8848000000000003</v>
      </c>
      <c r="W231" s="15">
        <f t="shared" si="226"/>
        <v>8.5274800000000006</v>
      </c>
      <c r="X231" s="15">
        <f t="shared" si="226"/>
        <v>10.051599999999999</v>
      </c>
      <c r="Y231" s="15">
        <f t="shared" si="226"/>
        <v>11.532139999999998</v>
      </c>
      <c r="Z231" s="15">
        <f t="shared" si="226"/>
        <v>8.1672000000000011</v>
      </c>
      <c r="AA231" s="15">
        <f t="shared" si="226"/>
        <v>11.247120000000001</v>
      </c>
      <c r="AB231" s="15">
        <f t="shared" si="226"/>
        <v>10.821</v>
      </c>
      <c r="AC231" s="15"/>
      <c r="AD231" s="21">
        <f>SUM(T231:AC231)</f>
        <v>69.231340000000003</v>
      </c>
    </row>
    <row r="232" spans="1:31" x14ac:dyDescent="0.3">
      <c r="A232" s="22"/>
      <c r="C232" s="15"/>
      <c r="D232" s="15"/>
      <c r="E232" s="37"/>
      <c r="F232" s="15"/>
      <c r="G232" s="15"/>
      <c r="H232" s="15"/>
      <c r="I232" s="15"/>
      <c r="J232" s="15"/>
      <c r="K232" s="38"/>
      <c r="L232" s="15"/>
      <c r="M232" s="15"/>
      <c r="N232" s="15"/>
      <c r="O232" s="15"/>
      <c r="Q232" s="22"/>
      <c r="R232" s="22"/>
      <c r="S232" s="1" t="s">
        <v>115</v>
      </c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33">
        <f>(AD229-AD230)/AD229*100</f>
        <v>-5.113081498004922</v>
      </c>
      <c r="AE232" s="25"/>
    </row>
    <row r="233" spans="1:31" x14ac:dyDescent="0.3">
      <c r="A233" s="22"/>
      <c r="C233" s="15"/>
      <c r="D233" s="15"/>
      <c r="E233" s="37"/>
      <c r="F233" s="15"/>
      <c r="G233" s="15"/>
      <c r="H233" s="15"/>
      <c r="I233" s="15"/>
      <c r="J233" s="15"/>
      <c r="K233" s="38"/>
      <c r="L233" s="15"/>
      <c r="M233" s="15"/>
      <c r="N233" s="15"/>
      <c r="O233" s="15"/>
      <c r="Q233" s="22"/>
      <c r="R233" s="22"/>
      <c r="S233" s="1" t="s">
        <v>103</v>
      </c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33">
        <f>AD229-AD231</f>
        <v>8.0191400000000073</v>
      </c>
      <c r="AE233" s="25"/>
    </row>
    <row r="234" spans="1:31" ht="16.2" thickBot="1" x14ac:dyDescent="0.35">
      <c r="A234" s="22"/>
      <c r="B234" s="2" t="s">
        <v>32</v>
      </c>
      <c r="C234" s="15"/>
      <c r="D234" s="15"/>
      <c r="E234" s="40">
        <v>0.48</v>
      </c>
      <c r="F234" s="15">
        <v>0.46</v>
      </c>
      <c r="G234" s="15">
        <v>0.52</v>
      </c>
      <c r="H234" s="15">
        <v>0.57999999999999996</v>
      </c>
      <c r="I234" s="15">
        <v>0.4</v>
      </c>
      <c r="J234" s="15">
        <v>0.54</v>
      </c>
      <c r="K234" s="41">
        <v>0.5</v>
      </c>
      <c r="L234" s="15"/>
      <c r="M234" s="15"/>
      <c r="N234" s="15"/>
      <c r="O234" s="15"/>
      <c r="P234" s="16"/>
      <c r="Q234" s="22"/>
      <c r="R234" s="22"/>
      <c r="S234" s="2" t="s">
        <v>97</v>
      </c>
      <c r="T234" s="221" t="s">
        <v>134</v>
      </c>
      <c r="U234" s="221"/>
      <c r="V234" s="221"/>
      <c r="W234" s="221"/>
      <c r="X234" s="221"/>
      <c r="Y234" s="221"/>
      <c r="Z234" s="221"/>
      <c r="AA234" s="221"/>
      <c r="AB234" s="221"/>
      <c r="AC234" s="221"/>
      <c r="AD234" s="39"/>
    </row>
    <row r="235" spans="1:31" ht="15.75" customHeight="1" x14ac:dyDescent="0.3">
      <c r="A235" s="216" t="s">
        <v>159</v>
      </c>
      <c r="B235" s="13" t="s">
        <v>98</v>
      </c>
      <c r="C235" s="34">
        <v>0</v>
      </c>
      <c r="D235" s="14">
        <v>0</v>
      </c>
      <c r="E235" s="14">
        <v>0.65300000000000002</v>
      </c>
      <c r="F235" s="14">
        <v>3.327</v>
      </c>
      <c r="G235" s="14">
        <v>2.5830000000000002</v>
      </c>
      <c r="H235" s="14">
        <v>2.2599999999999998</v>
      </c>
      <c r="I235" s="35">
        <v>0.52</v>
      </c>
      <c r="J235" s="14"/>
      <c r="K235" s="14"/>
      <c r="L235" s="14"/>
      <c r="M235" s="14"/>
      <c r="N235" s="15" t="s">
        <v>109</v>
      </c>
      <c r="O235" s="16">
        <f t="shared" ref="O235" si="227">COUNTIF(A235:L235, "&gt;0" )</f>
        <v>5</v>
      </c>
      <c r="Q235" s="216" t="s">
        <v>159</v>
      </c>
      <c r="R235" s="216" t="s">
        <v>2</v>
      </c>
      <c r="S235" s="36" t="s">
        <v>98</v>
      </c>
      <c r="T235" s="18">
        <f t="shared" ref="T235:AA235" si="228">C235*C242</f>
        <v>0</v>
      </c>
      <c r="U235" s="18">
        <f t="shared" si="228"/>
        <v>0</v>
      </c>
      <c r="V235" s="18">
        <f t="shared" si="228"/>
        <v>0.35262000000000004</v>
      </c>
      <c r="W235" s="18">
        <f t="shared" si="228"/>
        <v>1.5304200000000001</v>
      </c>
      <c r="X235" s="18">
        <f t="shared" si="228"/>
        <v>1.2915000000000001</v>
      </c>
      <c r="Y235" s="18">
        <f t="shared" si="228"/>
        <v>1.1752</v>
      </c>
      <c r="Z235" s="18">
        <f t="shared" si="228"/>
        <v>0.24959999999999999</v>
      </c>
      <c r="AA235" s="18">
        <f t="shared" si="228"/>
        <v>0</v>
      </c>
      <c r="AB235" s="18"/>
      <c r="AC235" s="18"/>
      <c r="AD235" s="33">
        <f>SUM(T235:AC235)</f>
        <v>4.5993400000000007</v>
      </c>
      <c r="AE235" s="25"/>
    </row>
    <row r="236" spans="1:31" ht="15.75" customHeight="1" x14ac:dyDescent="0.3">
      <c r="A236" s="217"/>
      <c r="B236" s="2" t="s">
        <v>110</v>
      </c>
      <c r="C236" s="37"/>
      <c r="D236" s="15"/>
      <c r="E236" s="15" t="s">
        <v>111</v>
      </c>
      <c r="F236" s="15" t="s">
        <v>111</v>
      </c>
      <c r="G236" s="15" t="s">
        <v>111</v>
      </c>
      <c r="H236" s="15" t="s">
        <v>111</v>
      </c>
      <c r="I236" s="38" t="s">
        <v>111</v>
      </c>
      <c r="J236" s="15"/>
      <c r="K236" s="15"/>
      <c r="L236" s="15"/>
      <c r="M236" s="15"/>
      <c r="N236" s="15" t="s">
        <v>105</v>
      </c>
      <c r="O236" s="15">
        <f t="shared" ref="O236" si="229">COUNTIF(A236:L236,"Cortex")</f>
        <v>5</v>
      </c>
      <c r="Q236" s="217"/>
      <c r="R236" s="217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21"/>
    </row>
    <row r="237" spans="1:31" ht="15.75" customHeight="1" x14ac:dyDescent="0.3">
      <c r="A237" s="217"/>
      <c r="B237" s="2" t="s">
        <v>99</v>
      </c>
      <c r="C237" s="37">
        <v>17.327000000000002</v>
      </c>
      <c r="D237" s="15">
        <v>19.244</v>
      </c>
      <c r="E237" s="15">
        <v>19.93</v>
      </c>
      <c r="F237" s="15">
        <v>22.178999999999998</v>
      </c>
      <c r="G237" s="15">
        <v>24.652000000000001</v>
      </c>
      <c r="H237" s="15">
        <v>25.173999999999999</v>
      </c>
      <c r="I237" s="38">
        <v>26.76</v>
      </c>
      <c r="J237" s="15"/>
      <c r="K237" s="15"/>
      <c r="L237" s="15"/>
      <c r="M237" s="15"/>
      <c r="N237" s="15" t="s">
        <v>106</v>
      </c>
      <c r="O237" s="15">
        <f t="shared" ref="O237" si="230">O235-O236</f>
        <v>0</v>
      </c>
      <c r="Q237" s="217"/>
      <c r="R237" s="217"/>
      <c r="S237" s="2" t="s">
        <v>99</v>
      </c>
      <c r="T237" s="15">
        <f t="shared" ref="T237:AA237" si="231">C237*C242</f>
        <v>8.6635000000000009</v>
      </c>
      <c r="U237" s="15">
        <f t="shared" si="231"/>
        <v>9.6219999999999999</v>
      </c>
      <c r="V237" s="15">
        <f t="shared" si="231"/>
        <v>10.7622</v>
      </c>
      <c r="W237" s="15">
        <f t="shared" si="231"/>
        <v>10.20234</v>
      </c>
      <c r="X237" s="15">
        <f t="shared" si="231"/>
        <v>12.326000000000001</v>
      </c>
      <c r="Y237" s="15">
        <f t="shared" si="231"/>
        <v>13.090479999999999</v>
      </c>
      <c r="Z237" s="15">
        <f t="shared" si="231"/>
        <v>12.844800000000001</v>
      </c>
      <c r="AA237" s="15">
        <f t="shared" si="231"/>
        <v>0</v>
      </c>
      <c r="AB237" s="15"/>
      <c r="AC237" s="15"/>
      <c r="AD237" s="21">
        <f>SUM(T237:AC237)</f>
        <v>77.511319999999998</v>
      </c>
    </row>
    <row r="238" spans="1:31" ht="15.75" customHeight="1" x14ac:dyDescent="0.3">
      <c r="A238" s="217"/>
      <c r="B238" s="2" t="s">
        <v>100</v>
      </c>
      <c r="C238" s="37">
        <v>16.904</v>
      </c>
      <c r="D238" s="15">
        <v>19.158999999999999</v>
      </c>
      <c r="E238" s="15">
        <v>20.803000000000001</v>
      </c>
      <c r="F238" s="15">
        <v>22.91</v>
      </c>
      <c r="G238" s="15">
        <v>24.625</v>
      </c>
      <c r="H238" s="15">
        <v>25.78</v>
      </c>
      <c r="I238" s="38">
        <v>25.758000000000003</v>
      </c>
      <c r="J238" s="15"/>
      <c r="K238" s="15"/>
      <c r="L238" s="15"/>
      <c r="M238" s="15"/>
      <c r="N238" s="15" t="s">
        <v>113</v>
      </c>
      <c r="O238" s="16">
        <f t="shared" ref="O238" si="232">COUNTIF(A235:M235, "&gt;=0" )</f>
        <v>7</v>
      </c>
      <c r="Q238" s="217"/>
      <c r="R238" s="217"/>
      <c r="S238" s="2" t="s">
        <v>100</v>
      </c>
      <c r="T238" s="15">
        <f t="shared" ref="T238:AA238" si="233">C238*C242</f>
        <v>8.452</v>
      </c>
      <c r="U238" s="15">
        <f t="shared" si="233"/>
        <v>9.5794999999999995</v>
      </c>
      <c r="V238" s="15">
        <f t="shared" si="233"/>
        <v>11.233620000000002</v>
      </c>
      <c r="W238" s="15">
        <f t="shared" si="233"/>
        <v>10.538600000000001</v>
      </c>
      <c r="X238" s="15">
        <f t="shared" si="233"/>
        <v>12.3125</v>
      </c>
      <c r="Y238" s="15">
        <f t="shared" si="233"/>
        <v>13.405600000000002</v>
      </c>
      <c r="Z238" s="15">
        <f t="shared" si="233"/>
        <v>12.363840000000001</v>
      </c>
      <c r="AA238" s="15">
        <f t="shared" si="233"/>
        <v>0</v>
      </c>
      <c r="AB238" s="15"/>
      <c r="AC238" s="15"/>
      <c r="AD238" s="21">
        <f>SUM(T238:AC238)</f>
        <v>77.885660000000001</v>
      </c>
    </row>
    <row r="239" spans="1:31" x14ac:dyDescent="0.3">
      <c r="A239" s="22"/>
      <c r="B239" s="2" t="s">
        <v>114</v>
      </c>
      <c r="C239" s="37">
        <v>16.904</v>
      </c>
      <c r="D239" s="15">
        <v>19.158999999999999</v>
      </c>
      <c r="E239" s="15">
        <v>20.150000000000002</v>
      </c>
      <c r="F239" s="15">
        <v>19.582999999999998</v>
      </c>
      <c r="G239" s="15">
        <v>22.042000000000002</v>
      </c>
      <c r="H239" s="15">
        <v>23.520000000000003</v>
      </c>
      <c r="I239" s="38">
        <v>25.238000000000003</v>
      </c>
      <c r="J239" s="15"/>
      <c r="K239" s="15"/>
      <c r="L239" s="15"/>
      <c r="M239" s="15"/>
      <c r="N239" s="15"/>
      <c r="O239" s="15"/>
      <c r="Q239" s="22"/>
      <c r="R239" s="22"/>
      <c r="S239" s="2" t="s">
        <v>114</v>
      </c>
      <c r="T239" s="15">
        <f t="shared" ref="T239:AA239" si="234">C239*C242</f>
        <v>8.452</v>
      </c>
      <c r="U239" s="15">
        <f t="shared" si="234"/>
        <v>9.5794999999999995</v>
      </c>
      <c r="V239" s="15">
        <f t="shared" si="234"/>
        <v>10.881000000000002</v>
      </c>
      <c r="W239" s="15">
        <f t="shared" si="234"/>
        <v>9.0081799999999994</v>
      </c>
      <c r="X239" s="15">
        <f t="shared" si="234"/>
        <v>11.021000000000001</v>
      </c>
      <c r="Y239" s="15">
        <f t="shared" si="234"/>
        <v>12.230400000000001</v>
      </c>
      <c r="Z239" s="15">
        <f t="shared" si="234"/>
        <v>12.114240000000001</v>
      </c>
      <c r="AA239" s="15">
        <f t="shared" si="234"/>
        <v>0</v>
      </c>
      <c r="AB239" s="15"/>
      <c r="AC239" s="15"/>
      <c r="AD239" s="21">
        <f>SUM(T239:AC239)</f>
        <v>73.286320000000003</v>
      </c>
    </row>
    <row r="240" spans="1:31" x14ac:dyDescent="0.3">
      <c r="A240" s="22"/>
      <c r="C240" s="37"/>
      <c r="D240" s="15"/>
      <c r="E240" s="15"/>
      <c r="F240" s="15"/>
      <c r="G240" s="15"/>
      <c r="H240" s="15"/>
      <c r="I240" s="38"/>
      <c r="J240" s="15"/>
      <c r="K240" s="15"/>
      <c r="L240" s="15"/>
      <c r="M240" s="15"/>
      <c r="N240" s="15"/>
      <c r="O240" s="15"/>
      <c r="Q240" s="22"/>
      <c r="R240" s="22"/>
      <c r="S240" s="1" t="s">
        <v>115</v>
      </c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33">
        <f>(AD237-AD238)/AD237*100</f>
        <v>-0.48294881315400601</v>
      </c>
      <c r="AE240" s="25"/>
    </row>
    <row r="241" spans="1:31" x14ac:dyDescent="0.3">
      <c r="A241" s="22"/>
      <c r="C241" s="37"/>
      <c r="D241" s="15"/>
      <c r="E241" s="15"/>
      <c r="F241" s="15"/>
      <c r="G241" s="15"/>
      <c r="H241" s="15"/>
      <c r="I241" s="38"/>
      <c r="J241" s="15"/>
      <c r="K241" s="15"/>
      <c r="L241" s="15"/>
      <c r="M241" s="15"/>
      <c r="N241" s="15"/>
      <c r="O241" s="15"/>
      <c r="Q241" s="22"/>
      <c r="R241" s="22"/>
      <c r="S241" s="1" t="s">
        <v>103</v>
      </c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33">
        <f>AD237-AD239</f>
        <v>4.2249999999999943</v>
      </c>
      <c r="AE241" s="25"/>
    </row>
    <row r="242" spans="1:31" ht="16.2" thickBot="1" x14ac:dyDescent="0.35">
      <c r="A242" s="22"/>
      <c r="B242" s="2" t="s">
        <v>32</v>
      </c>
      <c r="C242" s="40">
        <v>0.5</v>
      </c>
      <c r="D242" s="15">
        <v>0.5</v>
      </c>
      <c r="E242" s="15">
        <v>0.54</v>
      </c>
      <c r="F242" s="15">
        <v>0.46</v>
      </c>
      <c r="G242" s="15">
        <v>0.5</v>
      </c>
      <c r="H242" s="15">
        <v>0.52</v>
      </c>
      <c r="I242" s="41">
        <v>0.48</v>
      </c>
      <c r="J242" s="15"/>
      <c r="K242" s="15"/>
      <c r="L242" s="15"/>
      <c r="M242" s="15"/>
      <c r="N242" s="15"/>
      <c r="O242" s="15"/>
      <c r="P242" s="16"/>
      <c r="Q242" s="22"/>
      <c r="R242" s="22"/>
      <c r="S242" s="2" t="s">
        <v>97</v>
      </c>
      <c r="T242" s="219"/>
      <c r="U242" s="219"/>
      <c r="V242" s="219"/>
      <c r="W242" s="219"/>
      <c r="X242" s="219"/>
      <c r="Y242" s="219"/>
      <c r="Z242" s="219"/>
      <c r="AA242" s="219"/>
      <c r="AB242" s="219"/>
      <c r="AC242" s="219"/>
      <c r="AD242" s="39"/>
    </row>
    <row r="243" spans="1:31" ht="15.75" customHeight="1" x14ac:dyDescent="0.3">
      <c r="A243" s="216" t="s">
        <v>160</v>
      </c>
      <c r="B243" s="13" t="s">
        <v>98</v>
      </c>
      <c r="C243" s="14"/>
      <c r="D243" s="14"/>
      <c r="E243" s="34">
        <v>4.8099999999999996</v>
      </c>
      <c r="F243" s="14">
        <v>5.5549999999999997</v>
      </c>
      <c r="G243" s="14">
        <v>4.9790000000000001</v>
      </c>
      <c r="H243" s="14">
        <v>4.1619999999999999</v>
      </c>
      <c r="I243" s="14">
        <v>2.7679999999999998</v>
      </c>
      <c r="J243" s="14">
        <v>2.9020000000000001</v>
      </c>
      <c r="K243" s="35">
        <v>2.9630000000000001</v>
      </c>
      <c r="L243" s="14"/>
      <c r="M243" s="14"/>
      <c r="N243" s="15" t="s">
        <v>109</v>
      </c>
      <c r="O243" s="16">
        <f t="shared" ref="O243" si="235">COUNTIF(A243:L243, "&gt;0" )</f>
        <v>7</v>
      </c>
      <c r="Q243" s="216" t="s">
        <v>160</v>
      </c>
      <c r="R243" s="216" t="s">
        <v>2</v>
      </c>
      <c r="S243" s="36" t="s">
        <v>98</v>
      </c>
      <c r="T243" s="18"/>
      <c r="U243" s="18"/>
      <c r="V243" s="18">
        <f t="shared" ref="V243:AB243" si="236">E243*E250</f>
        <v>2.5011999999999999</v>
      </c>
      <c r="W243" s="18">
        <f t="shared" si="236"/>
        <v>2.7774999999999999</v>
      </c>
      <c r="X243" s="18">
        <f t="shared" si="236"/>
        <v>2.4895</v>
      </c>
      <c r="Y243" s="18">
        <f t="shared" si="236"/>
        <v>2.1642399999999999</v>
      </c>
      <c r="Z243" s="18">
        <f t="shared" si="236"/>
        <v>1.43936</v>
      </c>
      <c r="AA243" s="18">
        <f t="shared" si="236"/>
        <v>1.39296</v>
      </c>
      <c r="AB243" s="18">
        <f t="shared" si="236"/>
        <v>1.3629800000000001</v>
      </c>
      <c r="AC243" s="18"/>
      <c r="AD243" s="33">
        <f>SUM(T243:AC243)</f>
        <v>14.127740000000001</v>
      </c>
      <c r="AE243" s="25"/>
    </row>
    <row r="244" spans="1:31" ht="15.75" customHeight="1" x14ac:dyDescent="0.3">
      <c r="A244" s="217"/>
      <c r="B244" s="2" t="s">
        <v>110</v>
      </c>
      <c r="C244" s="15"/>
      <c r="D244" s="15"/>
      <c r="E244" s="37" t="s">
        <v>112</v>
      </c>
      <c r="F244" s="15" t="s">
        <v>161</v>
      </c>
      <c r="G244" s="15" t="s">
        <v>161</v>
      </c>
      <c r="H244" s="15" t="s">
        <v>161</v>
      </c>
      <c r="I244" s="15" t="s">
        <v>112</v>
      </c>
      <c r="J244" s="15" t="s">
        <v>111</v>
      </c>
      <c r="K244" s="38" t="s">
        <v>111</v>
      </c>
      <c r="L244" s="15"/>
      <c r="M244" s="15"/>
      <c r="N244" s="15" t="s">
        <v>105</v>
      </c>
      <c r="O244" s="15">
        <f t="shared" ref="O244" si="237">COUNTIF(A244:L244,"Cortex")</f>
        <v>2</v>
      </c>
      <c r="Q244" s="217"/>
      <c r="R244" s="217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21"/>
    </row>
    <row r="245" spans="1:31" ht="15.75" customHeight="1" x14ac:dyDescent="0.3">
      <c r="A245" s="217"/>
      <c r="B245" s="2" t="s">
        <v>99</v>
      </c>
      <c r="C245" s="15"/>
      <c r="D245" s="15"/>
      <c r="E245" s="37">
        <v>20.481999999999999</v>
      </c>
      <c r="F245" s="15">
        <v>21.103000000000002</v>
      </c>
      <c r="G245" s="15">
        <v>22.663999999999998</v>
      </c>
      <c r="H245" s="15">
        <v>23.297999999999998</v>
      </c>
      <c r="I245" s="15">
        <v>24.855</v>
      </c>
      <c r="J245" s="15">
        <v>25.581</v>
      </c>
      <c r="K245" s="38">
        <v>26.717000000000002</v>
      </c>
      <c r="L245" s="15"/>
      <c r="M245" s="15"/>
      <c r="N245" s="15" t="s">
        <v>106</v>
      </c>
      <c r="O245" s="15">
        <f t="shared" ref="O245" si="238">O243-O244</f>
        <v>5</v>
      </c>
      <c r="Q245" s="217"/>
      <c r="R245" s="217"/>
      <c r="S245" s="2" t="s">
        <v>99</v>
      </c>
      <c r="T245" s="15"/>
      <c r="U245" s="15"/>
      <c r="V245" s="15">
        <f t="shared" ref="V245:AB245" si="239">E245*E250</f>
        <v>10.650639999999999</v>
      </c>
      <c r="W245" s="15">
        <f t="shared" si="239"/>
        <v>10.551500000000001</v>
      </c>
      <c r="X245" s="15">
        <f t="shared" si="239"/>
        <v>11.331999999999999</v>
      </c>
      <c r="Y245" s="15">
        <f t="shared" si="239"/>
        <v>12.11496</v>
      </c>
      <c r="Z245" s="15">
        <f t="shared" si="239"/>
        <v>12.9246</v>
      </c>
      <c r="AA245" s="15">
        <f t="shared" si="239"/>
        <v>12.278879999999999</v>
      </c>
      <c r="AB245" s="15">
        <f t="shared" si="239"/>
        <v>12.289820000000002</v>
      </c>
      <c r="AC245" s="15"/>
      <c r="AD245" s="21">
        <f>SUM(T245:AC245)</f>
        <v>82.142400000000009</v>
      </c>
    </row>
    <row r="246" spans="1:31" ht="15.75" customHeight="1" x14ac:dyDescent="0.3">
      <c r="A246" s="217"/>
      <c r="B246" s="2" t="s">
        <v>100</v>
      </c>
      <c r="C246" s="15"/>
      <c r="D246" s="15"/>
      <c r="E246" s="37">
        <v>20.984000000000002</v>
      </c>
      <c r="F246" s="15">
        <v>22.744999999999997</v>
      </c>
      <c r="G246" s="15">
        <v>24.378999999999998</v>
      </c>
      <c r="H246" s="15">
        <v>25.561</v>
      </c>
      <c r="I246" s="15">
        <v>26.310000000000002</v>
      </c>
      <c r="J246" s="15">
        <v>27.32</v>
      </c>
      <c r="K246" s="38">
        <v>27.233000000000001</v>
      </c>
      <c r="L246" s="15"/>
      <c r="M246" s="15"/>
      <c r="N246" s="15" t="s">
        <v>113</v>
      </c>
      <c r="O246" s="16">
        <f t="shared" ref="O246" si="240">COUNTIF(A243:M243, "&gt;=0" )</f>
        <v>7</v>
      </c>
      <c r="Q246" s="217"/>
      <c r="R246" s="217"/>
      <c r="S246" s="2" t="s">
        <v>100</v>
      </c>
      <c r="T246" s="15"/>
      <c r="U246" s="15"/>
      <c r="V246" s="15">
        <f t="shared" ref="V246:AB246" si="241">E246*E250</f>
        <v>10.91168</v>
      </c>
      <c r="W246" s="15">
        <f t="shared" si="241"/>
        <v>11.372499999999999</v>
      </c>
      <c r="X246" s="15">
        <f t="shared" si="241"/>
        <v>12.189499999999999</v>
      </c>
      <c r="Y246" s="15">
        <f t="shared" si="241"/>
        <v>13.29172</v>
      </c>
      <c r="Z246" s="15">
        <f t="shared" si="241"/>
        <v>13.681200000000002</v>
      </c>
      <c r="AA246" s="15">
        <f t="shared" si="241"/>
        <v>13.1136</v>
      </c>
      <c r="AB246" s="15">
        <f t="shared" si="241"/>
        <v>12.527180000000001</v>
      </c>
      <c r="AC246" s="15"/>
      <c r="AD246" s="21">
        <f>SUM(T246:AC246)</f>
        <v>87.08738000000001</v>
      </c>
    </row>
    <row r="247" spans="1:31" x14ac:dyDescent="0.3">
      <c r="A247" s="22"/>
      <c r="B247" s="2" t="s">
        <v>114</v>
      </c>
      <c r="C247" s="15"/>
      <c r="D247" s="15"/>
      <c r="E247" s="37">
        <v>16.174000000000003</v>
      </c>
      <c r="F247" s="15">
        <v>17.189999999999998</v>
      </c>
      <c r="G247" s="15">
        <v>19.399999999999999</v>
      </c>
      <c r="H247" s="15">
        <v>21.399000000000001</v>
      </c>
      <c r="I247" s="15">
        <v>23.542000000000002</v>
      </c>
      <c r="J247" s="15">
        <v>24.417999999999999</v>
      </c>
      <c r="K247" s="38">
        <v>24.27</v>
      </c>
      <c r="L247" s="15"/>
      <c r="M247" s="15"/>
      <c r="N247" s="15"/>
      <c r="O247" s="15"/>
      <c r="Q247" s="22"/>
      <c r="R247" s="22"/>
      <c r="S247" s="2" t="s">
        <v>114</v>
      </c>
      <c r="T247" s="15"/>
      <c r="U247" s="15"/>
      <c r="V247" s="15">
        <f t="shared" ref="V247:AB247" si="242">E247*E250</f>
        <v>8.4104800000000015</v>
      </c>
      <c r="W247" s="15">
        <f t="shared" si="242"/>
        <v>8.5949999999999989</v>
      </c>
      <c r="X247" s="15">
        <f t="shared" si="242"/>
        <v>9.6999999999999993</v>
      </c>
      <c r="Y247" s="15">
        <f t="shared" si="242"/>
        <v>11.12748</v>
      </c>
      <c r="Z247" s="15">
        <f t="shared" si="242"/>
        <v>12.241840000000002</v>
      </c>
      <c r="AA247" s="15">
        <f t="shared" si="242"/>
        <v>11.72064</v>
      </c>
      <c r="AB247" s="15">
        <f t="shared" si="242"/>
        <v>11.164200000000001</v>
      </c>
      <c r="AC247" s="15"/>
      <c r="AD247" s="21">
        <f>SUM(T247:AC247)</f>
        <v>72.959640000000007</v>
      </c>
    </row>
    <row r="248" spans="1:31" x14ac:dyDescent="0.3">
      <c r="A248" s="22"/>
      <c r="C248" s="15"/>
      <c r="D248" s="15"/>
      <c r="E248" s="37"/>
      <c r="F248" s="15"/>
      <c r="G248" s="15"/>
      <c r="H248" s="15"/>
      <c r="I248" s="15"/>
      <c r="J248" s="15"/>
      <c r="K248" s="38"/>
      <c r="L248" s="15"/>
      <c r="M248" s="15"/>
      <c r="N248" s="15"/>
      <c r="O248" s="15"/>
      <c r="Q248" s="22"/>
      <c r="R248" s="22"/>
      <c r="S248" s="1" t="s">
        <v>115</v>
      </c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33">
        <f>(AD245-AD246)/AD245*100</f>
        <v>-6.0200091548335584</v>
      </c>
      <c r="AE248" s="25"/>
    </row>
    <row r="249" spans="1:31" x14ac:dyDescent="0.3">
      <c r="A249" s="22"/>
      <c r="C249" s="15"/>
      <c r="D249" s="15"/>
      <c r="E249" s="37"/>
      <c r="F249" s="15"/>
      <c r="G249" s="15"/>
      <c r="H249" s="15"/>
      <c r="I249" s="15"/>
      <c r="J249" s="15"/>
      <c r="K249" s="38"/>
      <c r="L249" s="15"/>
      <c r="M249" s="15"/>
      <c r="N249" s="15"/>
      <c r="O249" s="15"/>
      <c r="Q249" s="22"/>
      <c r="R249" s="22"/>
      <c r="S249" s="1" t="s">
        <v>103</v>
      </c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33">
        <f>AD245-AD247</f>
        <v>9.1827600000000018</v>
      </c>
      <c r="AE249" s="25"/>
    </row>
    <row r="250" spans="1:31" ht="16.2" thickBot="1" x14ac:dyDescent="0.35">
      <c r="A250" s="22"/>
      <c r="B250" s="2" t="s">
        <v>32</v>
      </c>
      <c r="C250" s="15"/>
      <c r="D250" s="15"/>
      <c r="E250" s="40">
        <v>0.52</v>
      </c>
      <c r="F250" s="15">
        <v>0.5</v>
      </c>
      <c r="G250" s="15">
        <v>0.5</v>
      </c>
      <c r="H250" s="15">
        <v>0.52</v>
      </c>
      <c r="I250" s="15">
        <v>0.52</v>
      </c>
      <c r="J250" s="15">
        <v>0.48</v>
      </c>
      <c r="K250" s="41">
        <v>0.46</v>
      </c>
      <c r="L250" s="15"/>
      <c r="M250" s="15"/>
      <c r="N250" s="15"/>
      <c r="O250" s="15"/>
      <c r="P250" s="16"/>
      <c r="Q250" s="22"/>
      <c r="R250" s="22"/>
      <c r="S250" s="2" t="s">
        <v>97</v>
      </c>
      <c r="T250" s="219"/>
      <c r="U250" s="219"/>
      <c r="V250" s="219"/>
      <c r="W250" s="219"/>
      <c r="X250" s="219"/>
      <c r="Y250" s="219"/>
      <c r="Z250" s="219"/>
      <c r="AA250" s="219"/>
      <c r="AB250" s="219"/>
      <c r="AC250" s="219"/>
      <c r="AD250" s="39"/>
    </row>
    <row r="251" spans="1:31" ht="15.75" customHeight="1" x14ac:dyDescent="0.3">
      <c r="A251" s="216" t="s">
        <v>162</v>
      </c>
      <c r="B251" s="13" t="s">
        <v>98</v>
      </c>
      <c r="C251" s="14"/>
      <c r="D251" s="14"/>
      <c r="E251" s="34">
        <v>1.696</v>
      </c>
      <c r="F251" s="14">
        <v>2.645</v>
      </c>
      <c r="G251" s="14">
        <v>3.2330000000000001</v>
      </c>
      <c r="H251" s="14">
        <v>3.4820000000000002</v>
      </c>
      <c r="I251" s="14">
        <v>2.9620000000000002</v>
      </c>
      <c r="J251" s="14">
        <v>2.8639999999999999</v>
      </c>
      <c r="K251" s="35">
        <v>2.4470000000000001</v>
      </c>
      <c r="L251" s="14"/>
      <c r="M251" s="14"/>
      <c r="N251" s="15" t="s">
        <v>109</v>
      </c>
      <c r="O251" s="16">
        <f t="shared" ref="O251" si="243">COUNTIF(A251:L251, "&gt;0" )</f>
        <v>7</v>
      </c>
      <c r="Q251" s="216" t="s">
        <v>162</v>
      </c>
      <c r="R251" s="216" t="s">
        <v>2</v>
      </c>
      <c r="S251" s="36" t="s">
        <v>98</v>
      </c>
      <c r="T251" s="18"/>
      <c r="U251" s="18"/>
      <c r="V251" s="18">
        <f t="shared" ref="V251:AB251" si="244">E251*E258</f>
        <v>0.78015999999999996</v>
      </c>
      <c r="W251" s="18">
        <f t="shared" si="244"/>
        <v>1.3225</v>
      </c>
      <c r="X251" s="18">
        <f t="shared" si="244"/>
        <v>1.6165</v>
      </c>
      <c r="Y251" s="18">
        <f t="shared" si="244"/>
        <v>1.7410000000000001</v>
      </c>
      <c r="Z251" s="18">
        <f t="shared" si="244"/>
        <v>1.5994800000000002</v>
      </c>
      <c r="AA251" s="18">
        <f t="shared" si="244"/>
        <v>1.3174399999999999</v>
      </c>
      <c r="AB251" s="18">
        <f t="shared" si="244"/>
        <v>1.2235</v>
      </c>
      <c r="AC251" s="18"/>
      <c r="AD251" s="33">
        <f>SUM(T251:AC251)</f>
        <v>9.600579999999999</v>
      </c>
      <c r="AE251" s="25"/>
    </row>
    <row r="252" spans="1:31" ht="15.75" customHeight="1" x14ac:dyDescent="0.3">
      <c r="A252" s="217"/>
      <c r="B252" s="2" t="s">
        <v>110</v>
      </c>
      <c r="C252" s="15"/>
      <c r="D252" s="15"/>
      <c r="E252" s="37" t="s">
        <v>111</v>
      </c>
      <c r="F252" s="15" t="s">
        <v>111</v>
      </c>
      <c r="G252" s="15" t="s">
        <v>111</v>
      </c>
      <c r="H252" s="15" t="s">
        <v>112</v>
      </c>
      <c r="I252" s="15" t="s">
        <v>112</v>
      </c>
      <c r="J252" s="15" t="s">
        <v>112</v>
      </c>
      <c r="K252" s="38" t="s">
        <v>112</v>
      </c>
      <c r="L252" s="15"/>
      <c r="M252" s="15"/>
      <c r="N252" s="15" t="s">
        <v>105</v>
      </c>
      <c r="O252" s="15">
        <f t="shared" ref="O252" si="245">COUNTIF(A252:L252,"Cortex")</f>
        <v>3</v>
      </c>
      <c r="Q252" s="217"/>
      <c r="R252" s="217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21"/>
    </row>
    <row r="253" spans="1:31" ht="15.75" customHeight="1" x14ac:dyDescent="0.3">
      <c r="A253" s="217"/>
      <c r="B253" s="2" t="s">
        <v>99</v>
      </c>
      <c r="C253" s="15"/>
      <c r="D253" s="15"/>
      <c r="E253" s="37">
        <v>16.507999999999999</v>
      </c>
      <c r="F253" s="15">
        <v>18.936</v>
      </c>
      <c r="G253" s="15">
        <v>20.706</v>
      </c>
      <c r="H253" s="15">
        <v>22.725999999999999</v>
      </c>
      <c r="I253" s="15">
        <v>23.754999999999999</v>
      </c>
      <c r="J253" s="15">
        <v>24.911999999999999</v>
      </c>
      <c r="K253" s="38">
        <v>24.735000000000003</v>
      </c>
      <c r="L253" s="15"/>
      <c r="M253" s="15"/>
      <c r="N253" s="15" t="s">
        <v>106</v>
      </c>
      <c r="O253" s="15">
        <f t="shared" ref="O253" si="246">O251-O252</f>
        <v>4</v>
      </c>
      <c r="Q253" s="217"/>
      <c r="R253" s="217"/>
      <c r="S253" s="2" t="s">
        <v>99</v>
      </c>
      <c r="T253" s="15"/>
      <c r="U253" s="15"/>
      <c r="V253" s="15">
        <f t="shared" ref="V253:AB253" si="247">E253*E258</f>
        <v>7.59368</v>
      </c>
      <c r="W253" s="15">
        <f t="shared" si="247"/>
        <v>9.468</v>
      </c>
      <c r="X253" s="15">
        <f t="shared" si="247"/>
        <v>10.353</v>
      </c>
      <c r="Y253" s="15">
        <f t="shared" si="247"/>
        <v>11.363</v>
      </c>
      <c r="Z253" s="15">
        <f t="shared" si="247"/>
        <v>12.8277</v>
      </c>
      <c r="AA253" s="15">
        <f t="shared" si="247"/>
        <v>11.459519999999999</v>
      </c>
      <c r="AB253" s="15">
        <f t="shared" si="247"/>
        <v>12.367500000000001</v>
      </c>
      <c r="AC253" s="15"/>
      <c r="AD253" s="21">
        <f>SUM(T253:AC253)</f>
        <v>75.432400000000001</v>
      </c>
    </row>
    <row r="254" spans="1:31" ht="15.75" customHeight="1" x14ac:dyDescent="0.3">
      <c r="A254" s="217"/>
      <c r="B254" s="2" t="s">
        <v>100</v>
      </c>
      <c r="C254" s="15"/>
      <c r="D254" s="15"/>
      <c r="E254" s="37">
        <v>15.769</v>
      </c>
      <c r="F254" s="15">
        <v>17.236000000000001</v>
      </c>
      <c r="G254" s="15">
        <v>19.698</v>
      </c>
      <c r="H254" s="15">
        <v>18.765000000000001</v>
      </c>
      <c r="I254" s="15">
        <v>21.025000000000002</v>
      </c>
      <c r="J254" s="15">
        <v>23.196000000000002</v>
      </c>
      <c r="K254" s="38">
        <v>24.53</v>
      </c>
      <c r="L254" s="15"/>
      <c r="M254" s="15"/>
      <c r="N254" s="15" t="s">
        <v>113</v>
      </c>
      <c r="O254" s="16">
        <f t="shared" ref="O254" si="248">COUNTIF(A251:M251, "&gt;=0" )</f>
        <v>7</v>
      </c>
      <c r="Q254" s="217"/>
      <c r="R254" s="217"/>
      <c r="S254" s="2" t="s">
        <v>100</v>
      </c>
      <c r="T254" s="15"/>
      <c r="U254" s="15"/>
      <c r="V254" s="15">
        <f t="shared" ref="V254:AB254" si="249">E254*E258</f>
        <v>7.2537400000000005</v>
      </c>
      <c r="W254" s="15">
        <f t="shared" si="249"/>
        <v>8.6180000000000003</v>
      </c>
      <c r="X254" s="15">
        <f t="shared" si="249"/>
        <v>9.8490000000000002</v>
      </c>
      <c r="Y254" s="15">
        <f t="shared" si="249"/>
        <v>9.3825000000000003</v>
      </c>
      <c r="Z254" s="15">
        <f t="shared" si="249"/>
        <v>11.353500000000002</v>
      </c>
      <c r="AA254" s="15">
        <f t="shared" si="249"/>
        <v>10.670160000000001</v>
      </c>
      <c r="AB254" s="15">
        <f t="shared" si="249"/>
        <v>12.265000000000001</v>
      </c>
      <c r="AC254" s="15"/>
      <c r="AD254" s="21">
        <f>SUM(T254:AC254)</f>
        <v>69.391900000000007</v>
      </c>
    </row>
    <row r="255" spans="1:31" x14ac:dyDescent="0.3">
      <c r="A255" s="22"/>
      <c r="B255" s="2" t="s">
        <v>114</v>
      </c>
      <c r="C255" s="15"/>
      <c r="D255" s="15"/>
      <c r="E255" s="37">
        <v>14.073</v>
      </c>
      <c r="F255" s="15">
        <v>14.591000000000001</v>
      </c>
      <c r="G255" s="15">
        <v>16.465</v>
      </c>
      <c r="H255" s="15">
        <v>15.283000000000001</v>
      </c>
      <c r="I255" s="15">
        <v>18.063000000000002</v>
      </c>
      <c r="J255" s="15">
        <v>20.332000000000001</v>
      </c>
      <c r="K255" s="38">
        <v>22.083000000000002</v>
      </c>
      <c r="L255" s="15"/>
      <c r="M255" s="15"/>
      <c r="N255" s="15"/>
      <c r="O255" s="15"/>
      <c r="Q255" s="22"/>
      <c r="R255" s="22"/>
      <c r="S255" s="2" t="s">
        <v>114</v>
      </c>
      <c r="T255" s="15"/>
      <c r="U255" s="15"/>
      <c r="V255" s="15">
        <f t="shared" ref="V255:AB255" si="250">E255*E258</f>
        <v>6.4735800000000001</v>
      </c>
      <c r="W255" s="15">
        <f t="shared" si="250"/>
        <v>7.2955000000000005</v>
      </c>
      <c r="X255" s="15">
        <f t="shared" si="250"/>
        <v>8.2324999999999999</v>
      </c>
      <c r="Y255" s="15">
        <f t="shared" si="250"/>
        <v>7.6415000000000006</v>
      </c>
      <c r="Z255" s="15">
        <f t="shared" si="250"/>
        <v>9.7540200000000024</v>
      </c>
      <c r="AA255" s="15">
        <f t="shared" si="250"/>
        <v>9.3527200000000015</v>
      </c>
      <c r="AB255" s="15">
        <f t="shared" si="250"/>
        <v>11.041500000000001</v>
      </c>
      <c r="AC255" s="15"/>
      <c r="AD255" s="21">
        <f>SUM(T255:AC255)</f>
        <v>59.791319999999999</v>
      </c>
    </row>
    <row r="256" spans="1:31" x14ac:dyDescent="0.3">
      <c r="A256" s="22"/>
      <c r="C256" s="15"/>
      <c r="D256" s="15"/>
      <c r="E256" s="37"/>
      <c r="F256" s="15"/>
      <c r="G256" s="15"/>
      <c r="H256" s="15"/>
      <c r="I256" s="15"/>
      <c r="J256" s="15"/>
      <c r="K256" s="38"/>
      <c r="L256" s="15"/>
      <c r="M256" s="15"/>
      <c r="N256" s="15"/>
      <c r="O256" s="15"/>
      <c r="Q256" s="22"/>
      <c r="R256" s="22"/>
      <c r="S256" s="1" t="s">
        <v>115</v>
      </c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33">
        <f>(AD253-AD254)/AD253*100</f>
        <v>8.0078321782151889</v>
      </c>
      <c r="AE256" s="25"/>
    </row>
    <row r="257" spans="1:31" x14ac:dyDescent="0.3">
      <c r="A257" s="22"/>
      <c r="C257" s="15"/>
      <c r="D257" s="15"/>
      <c r="E257" s="37"/>
      <c r="F257" s="15"/>
      <c r="G257" s="15"/>
      <c r="H257" s="15"/>
      <c r="I257" s="15"/>
      <c r="J257" s="15"/>
      <c r="K257" s="38"/>
      <c r="L257" s="15"/>
      <c r="M257" s="15"/>
      <c r="N257" s="15"/>
      <c r="O257" s="15"/>
      <c r="Q257" s="22"/>
      <c r="R257" s="22"/>
      <c r="S257" s="1" t="s">
        <v>103</v>
      </c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33">
        <f>AD253-AD255</f>
        <v>15.641080000000002</v>
      </c>
      <c r="AE257" s="25"/>
    </row>
    <row r="258" spans="1:31" ht="16.2" thickBot="1" x14ac:dyDescent="0.35">
      <c r="A258" s="22"/>
      <c r="B258" s="2" t="s">
        <v>32</v>
      </c>
      <c r="C258" s="15"/>
      <c r="D258" s="15"/>
      <c r="E258" s="40">
        <v>0.46</v>
      </c>
      <c r="F258" s="15">
        <v>0.5</v>
      </c>
      <c r="G258" s="15">
        <v>0.5</v>
      </c>
      <c r="H258" s="15">
        <v>0.5</v>
      </c>
      <c r="I258" s="15">
        <v>0.54</v>
      </c>
      <c r="J258" s="15">
        <v>0.46</v>
      </c>
      <c r="K258" s="41">
        <v>0.5</v>
      </c>
      <c r="L258" s="15"/>
      <c r="M258" s="15"/>
      <c r="N258" s="15"/>
      <c r="O258" s="15"/>
      <c r="P258" s="16"/>
      <c r="Q258" s="22"/>
      <c r="R258" s="22"/>
      <c r="S258" s="2" t="s">
        <v>97</v>
      </c>
      <c r="T258" s="221" t="s">
        <v>163</v>
      </c>
      <c r="U258" s="221"/>
      <c r="V258" s="221"/>
      <c r="W258" s="221"/>
      <c r="X258" s="221"/>
      <c r="Y258" s="221"/>
      <c r="Z258" s="221"/>
      <c r="AA258" s="221"/>
      <c r="AB258" s="221"/>
      <c r="AC258" s="221"/>
      <c r="AD258" s="39"/>
    </row>
    <row r="259" spans="1:31" ht="15.75" customHeight="1" x14ac:dyDescent="0.3">
      <c r="A259" s="216" t="s">
        <v>164</v>
      </c>
      <c r="B259" s="13" t="s">
        <v>98</v>
      </c>
      <c r="C259" s="14"/>
      <c r="D259" s="14"/>
      <c r="E259" s="14"/>
      <c r="F259" s="34">
        <v>1.6140000000000001</v>
      </c>
      <c r="G259" s="14">
        <v>2.7229999999999999</v>
      </c>
      <c r="H259" s="14">
        <v>2.56</v>
      </c>
      <c r="I259" s="14">
        <v>3.3719999999999999</v>
      </c>
      <c r="J259" s="14">
        <v>2.9820000000000002</v>
      </c>
      <c r="K259" s="14">
        <v>3.6349999999999998</v>
      </c>
      <c r="L259" s="35">
        <v>3.448</v>
      </c>
      <c r="M259" s="14"/>
      <c r="N259" s="15" t="s">
        <v>109</v>
      </c>
      <c r="O259" s="16">
        <f t="shared" ref="O259" si="251">COUNTIF(A259:L259, "&gt;0" )</f>
        <v>7</v>
      </c>
      <c r="Q259" s="216" t="s">
        <v>164</v>
      </c>
      <c r="R259" s="216" t="s">
        <v>2</v>
      </c>
      <c r="S259" s="36" t="s">
        <v>98</v>
      </c>
      <c r="T259" s="18"/>
      <c r="U259" s="18"/>
      <c r="V259" s="18"/>
      <c r="W259" s="18">
        <f t="shared" ref="W259:AC259" si="252">F259*F266</f>
        <v>0.80700000000000005</v>
      </c>
      <c r="X259" s="18">
        <f t="shared" si="252"/>
        <v>1.3614999999999999</v>
      </c>
      <c r="Y259" s="18">
        <f t="shared" si="252"/>
        <v>1.28</v>
      </c>
      <c r="Z259" s="18">
        <f t="shared" si="252"/>
        <v>1.6859999999999999</v>
      </c>
      <c r="AA259" s="18">
        <f t="shared" si="252"/>
        <v>1.4910000000000001</v>
      </c>
      <c r="AB259" s="18">
        <f t="shared" si="252"/>
        <v>1.8901999999999999</v>
      </c>
      <c r="AC259" s="18">
        <f t="shared" si="252"/>
        <v>1.6550399999999998</v>
      </c>
      <c r="AD259" s="33">
        <f>SUM(T259:AC259)</f>
        <v>10.17074</v>
      </c>
      <c r="AE259" s="25"/>
    </row>
    <row r="260" spans="1:31" ht="15.75" customHeight="1" x14ac:dyDescent="0.3">
      <c r="A260" s="217"/>
      <c r="B260" s="2" t="s">
        <v>110</v>
      </c>
      <c r="C260" s="15"/>
      <c r="D260" s="15"/>
      <c r="E260" s="15"/>
      <c r="F260" s="37" t="s">
        <v>111</v>
      </c>
      <c r="G260" s="15" t="s">
        <v>111</v>
      </c>
      <c r="H260" s="15" t="s">
        <v>111</v>
      </c>
      <c r="I260" s="15" t="s">
        <v>112</v>
      </c>
      <c r="J260" s="15" t="s">
        <v>112</v>
      </c>
      <c r="K260" s="15" t="s">
        <v>112</v>
      </c>
      <c r="L260" s="38" t="s">
        <v>112</v>
      </c>
      <c r="M260" s="15"/>
      <c r="N260" s="15" t="s">
        <v>105</v>
      </c>
      <c r="O260" s="15">
        <f t="shared" ref="O260" si="253">COUNTIF(A260:L260,"Cortex")</f>
        <v>3</v>
      </c>
      <c r="Q260" s="217"/>
      <c r="R260" s="217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21"/>
    </row>
    <row r="261" spans="1:31" x14ac:dyDescent="0.3">
      <c r="A261" s="217"/>
      <c r="B261" s="2" t="s">
        <v>99</v>
      </c>
      <c r="C261" s="15"/>
      <c r="D261" s="15"/>
      <c r="E261" s="15"/>
      <c r="F261" s="37">
        <v>17.440999999999999</v>
      </c>
      <c r="G261" s="15">
        <v>18.940000000000001</v>
      </c>
      <c r="H261" s="15">
        <v>20.748999999999999</v>
      </c>
      <c r="I261" s="15">
        <v>22.265000000000001</v>
      </c>
      <c r="J261" s="15">
        <v>23.702999999999999</v>
      </c>
      <c r="K261" s="15">
        <v>24.279</v>
      </c>
      <c r="L261" s="38">
        <v>25.007000000000001</v>
      </c>
      <c r="M261" s="15"/>
      <c r="N261" s="15" t="s">
        <v>106</v>
      </c>
      <c r="O261" s="15">
        <f t="shared" ref="O261" si="254">O259-O260</f>
        <v>4</v>
      </c>
      <c r="Q261" s="217"/>
      <c r="R261" s="217"/>
      <c r="S261" s="2" t="s">
        <v>99</v>
      </c>
      <c r="T261" s="15"/>
      <c r="U261" s="15"/>
      <c r="V261" s="15"/>
      <c r="W261" s="15">
        <f t="shared" ref="W261:AC261" si="255">F261*F266</f>
        <v>8.7204999999999995</v>
      </c>
      <c r="X261" s="15">
        <f t="shared" si="255"/>
        <v>9.4700000000000006</v>
      </c>
      <c r="Y261" s="15">
        <f t="shared" si="255"/>
        <v>10.374499999999999</v>
      </c>
      <c r="Z261" s="15">
        <f t="shared" si="255"/>
        <v>11.1325</v>
      </c>
      <c r="AA261" s="15">
        <f t="shared" si="255"/>
        <v>11.8515</v>
      </c>
      <c r="AB261" s="15">
        <f t="shared" si="255"/>
        <v>12.625080000000001</v>
      </c>
      <c r="AC261" s="15">
        <f t="shared" si="255"/>
        <v>12.003360000000001</v>
      </c>
      <c r="AD261" s="21">
        <f>SUM(T261:AC261)</f>
        <v>76.177440000000004</v>
      </c>
    </row>
    <row r="262" spans="1:31" ht="15.75" customHeight="1" x14ac:dyDescent="0.3">
      <c r="A262" s="217"/>
      <c r="B262" s="2" t="s">
        <v>100</v>
      </c>
      <c r="C262" s="15"/>
      <c r="D262" s="15"/>
      <c r="E262" s="15"/>
      <c r="F262" s="37">
        <v>16.440999999999999</v>
      </c>
      <c r="G262" s="15">
        <v>17.896999999999998</v>
      </c>
      <c r="H262" s="15">
        <v>19.669</v>
      </c>
      <c r="I262" s="15">
        <v>20.773</v>
      </c>
      <c r="J262" s="15">
        <v>21.437999999999999</v>
      </c>
      <c r="K262" s="15">
        <v>23.41</v>
      </c>
      <c r="L262" s="38">
        <v>24.404</v>
      </c>
      <c r="M262" s="15"/>
      <c r="N262" s="15" t="s">
        <v>113</v>
      </c>
      <c r="O262" s="16">
        <f t="shared" ref="O262" si="256">COUNTIF(A259:M259, "&gt;=0" )</f>
        <v>7</v>
      </c>
      <c r="Q262" s="217"/>
      <c r="R262" s="217"/>
      <c r="S262" s="2" t="s">
        <v>100</v>
      </c>
      <c r="T262" s="15"/>
      <c r="U262" s="15"/>
      <c r="V262" s="15"/>
      <c r="W262" s="15">
        <f t="shared" ref="W262:AC262" si="257">F262*F266</f>
        <v>8.2204999999999995</v>
      </c>
      <c r="X262" s="15">
        <f t="shared" si="257"/>
        <v>8.9484999999999992</v>
      </c>
      <c r="Y262" s="15">
        <f t="shared" si="257"/>
        <v>9.8345000000000002</v>
      </c>
      <c r="Z262" s="15">
        <f t="shared" si="257"/>
        <v>10.3865</v>
      </c>
      <c r="AA262" s="15">
        <f t="shared" si="257"/>
        <v>10.718999999999999</v>
      </c>
      <c r="AB262" s="15">
        <f t="shared" si="257"/>
        <v>12.173200000000001</v>
      </c>
      <c r="AC262" s="15">
        <f t="shared" si="257"/>
        <v>11.71392</v>
      </c>
      <c r="AD262" s="21">
        <f>SUM(T262:AC262)</f>
        <v>71.996119999999991</v>
      </c>
    </row>
    <row r="263" spans="1:31" x14ac:dyDescent="0.3">
      <c r="A263" s="22"/>
      <c r="B263" s="2" t="s">
        <v>114</v>
      </c>
      <c r="C263" s="15"/>
      <c r="D263" s="15"/>
      <c r="E263" s="15"/>
      <c r="F263" s="37">
        <v>14.826999999999998</v>
      </c>
      <c r="G263" s="15">
        <v>15.173999999999999</v>
      </c>
      <c r="H263" s="15">
        <v>17.109000000000002</v>
      </c>
      <c r="I263" s="15">
        <v>17.401</v>
      </c>
      <c r="J263" s="15">
        <v>18.456</v>
      </c>
      <c r="K263" s="15">
        <v>19.774999999999999</v>
      </c>
      <c r="L263" s="38">
        <v>20.956</v>
      </c>
      <c r="M263" s="15"/>
      <c r="N263" s="15"/>
      <c r="O263" s="15"/>
      <c r="Q263" s="22"/>
      <c r="R263" s="22"/>
      <c r="S263" s="2" t="s">
        <v>114</v>
      </c>
      <c r="T263" s="15"/>
      <c r="U263" s="15"/>
      <c r="V263" s="15"/>
      <c r="W263" s="15">
        <f t="shared" ref="W263:AC263" si="258">F263*F266</f>
        <v>7.4134999999999991</v>
      </c>
      <c r="X263" s="15">
        <f t="shared" si="258"/>
        <v>7.5869999999999997</v>
      </c>
      <c r="Y263" s="15">
        <f t="shared" si="258"/>
        <v>8.5545000000000009</v>
      </c>
      <c r="Z263" s="15">
        <f t="shared" si="258"/>
        <v>8.7004999999999999</v>
      </c>
      <c r="AA263" s="15">
        <f t="shared" si="258"/>
        <v>9.2279999999999998</v>
      </c>
      <c r="AB263" s="15">
        <f t="shared" si="258"/>
        <v>10.282999999999999</v>
      </c>
      <c r="AC263" s="15">
        <f t="shared" si="258"/>
        <v>10.05888</v>
      </c>
      <c r="AD263" s="21">
        <f>SUM(T263:AC263)</f>
        <v>61.825380000000003</v>
      </c>
    </row>
    <row r="264" spans="1:31" x14ac:dyDescent="0.3">
      <c r="A264" s="22"/>
      <c r="C264" s="15"/>
      <c r="D264" s="15"/>
      <c r="E264" s="15"/>
      <c r="F264" s="37"/>
      <c r="G264" s="15"/>
      <c r="H264" s="15"/>
      <c r="I264" s="15"/>
      <c r="J264" s="15"/>
      <c r="K264" s="15"/>
      <c r="L264" s="38"/>
      <c r="M264" s="15"/>
      <c r="N264" s="15"/>
      <c r="O264" s="15"/>
      <c r="Q264" s="22"/>
      <c r="R264" s="22"/>
      <c r="S264" s="1" t="s">
        <v>115</v>
      </c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33">
        <f>(AD261-AD262)/AD261*100</f>
        <v>5.4889216544951021</v>
      </c>
      <c r="AE264" s="25"/>
    </row>
    <row r="265" spans="1:31" x14ac:dyDescent="0.3">
      <c r="A265" s="22"/>
      <c r="C265" s="15"/>
      <c r="D265" s="15"/>
      <c r="E265" s="15"/>
      <c r="F265" s="37"/>
      <c r="G265" s="15"/>
      <c r="H265" s="15"/>
      <c r="I265" s="15"/>
      <c r="J265" s="15"/>
      <c r="K265" s="15"/>
      <c r="L265" s="38"/>
      <c r="M265" s="15"/>
      <c r="N265" s="15"/>
      <c r="O265" s="15"/>
      <c r="Q265" s="22"/>
      <c r="R265" s="22"/>
      <c r="S265" s="1" t="s">
        <v>103</v>
      </c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33">
        <f>AD261-AD263</f>
        <v>14.352060000000002</v>
      </c>
      <c r="AE265" s="25"/>
    </row>
    <row r="266" spans="1:31" ht="16.2" thickBot="1" x14ac:dyDescent="0.35">
      <c r="A266" s="22"/>
      <c r="B266" s="2" t="s">
        <v>32</v>
      </c>
      <c r="C266" s="15"/>
      <c r="D266" s="15"/>
      <c r="E266" s="15"/>
      <c r="F266" s="40">
        <v>0.5</v>
      </c>
      <c r="G266" s="15">
        <v>0.5</v>
      </c>
      <c r="H266" s="15">
        <v>0.5</v>
      </c>
      <c r="I266" s="15">
        <v>0.5</v>
      </c>
      <c r="J266" s="15">
        <v>0.5</v>
      </c>
      <c r="K266" s="15">
        <v>0.52</v>
      </c>
      <c r="L266" s="41">
        <v>0.48</v>
      </c>
      <c r="M266" s="15"/>
      <c r="N266" s="15"/>
      <c r="O266" s="15"/>
      <c r="P266" s="16"/>
      <c r="Q266" s="22"/>
      <c r="R266" s="22"/>
      <c r="S266" s="2" t="s">
        <v>97</v>
      </c>
      <c r="T266" s="221" t="s">
        <v>165</v>
      </c>
      <c r="U266" s="221"/>
      <c r="V266" s="221"/>
      <c r="W266" s="221"/>
      <c r="X266" s="221"/>
      <c r="Y266" s="221"/>
      <c r="Z266" s="221"/>
      <c r="AA266" s="221"/>
      <c r="AB266" s="221"/>
      <c r="AC266" s="221"/>
      <c r="AD266" s="39"/>
    </row>
    <row r="267" spans="1:31" ht="15.75" customHeight="1" x14ac:dyDescent="0.3">
      <c r="A267" s="216" t="s">
        <v>166</v>
      </c>
      <c r="B267" s="13" t="s">
        <v>98</v>
      </c>
      <c r="C267" s="14"/>
      <c r="D267" s="14"/>
      <c r="E267" s="34">
        <v>0.30399999999999999</v>
      </c>
      <c r="F267" s="14">
        <v>0.30199999999999999</v>
      </c>
      <c r="G267" s="14">
        <v>1.304</v>
      </c>
      <c r="H267" s="14">
        <v>1.9179999999999999</v>
      </c>
      <c r="I267" s="14">
        <v>2.1539999999999999</v>
      </c>
      <c r="J267" s="14">
        <v>2.0870000000000002</v>
      </c>
      <c r="K267" s="35">
        <v>1.9390000000000001</v>
      </c>
      <c r="L267" s="14"/>
      <c r="M267" s="14"/>
      <c r="N267" s="15" t="s">
        <v>109</v>
      </c>
      <c r="O267" s="16">
        <f t="shared" ref="O267" si="259">COUNTIF(A267:L267, "&gt;0" )</f>
        <v>7</v>
      </c>
      <c r="Q267" s="216" t="s">
        <v>166</v>
      </c>
      <c r="R267" s="216" t="s">
        <v>2</v>
      </c>
      <c r="S267" s="36" t="s">
        <v>98</v>
      </c>
      <c r="T267" s="18"/>
      <c r="U267" s="18"/>
      <c r="V267" s="18">
        <f t="shared" ref="V267:AB267" si="260">E267*E274</f>
        <v>0.17631999999999998</v>
      </c>
      <c r="W267" s="18">
        <f t="shared" si="260"/>
        <v>0.13288</v>
      </c>
      <c r="X267" s="18">
        <f t="shared" si="260"/>
        <v>0.62592000000000003</v>
      </c>
      <c r="Y267" s="18">
        <f t="shared" si="260"/>
        <v>0.95899999999999996</v>
      </c>
      <c r="Z267" s="18">
        <f t="shared" si="260"/>
        <v>1.077</v>
      </c>
      <c r="AA267" s="18">
        <f t="shared" si="260"/>
        <v>1.0435000000000001</v>
      </c>
      <c r="AB267" s="18">
        <f t="shared" si="260"/>
        <v>0.96950000000000003</v>
      </c>
      <c r="AC267" s="18"/>
      <c r="AD267" s="33">
        <f>SUM(T267:AC267)</f>
        <v>4.9841199999999999</v>
      </c>
      <c r="AE267" s="25"/>
    </row>
    <row r="268" spans="1:31" ht="15.75" customHeight="1" x14ac:dyDescent="0.3">
      <c r="A268" s="217"/>
      <c r="B268" s="2" t="s">
        <v>110</v>
      </c>
      <c r="C268" s="15"/>
      <c r="D268" s="15"/>
      <c r="E268" s="37" t="s">
        <v>111</v>
      </c>
      <c r="F268" s="15" t="s">
        <v>111</v>
      </c>
      <c r="G268" s="15" t="s">
        <v>111</v>
      </c>
      <c r="H268" s="15" t="s">
        <v>111</v>
      </c>
      <c r="I268" s="15" t="s">
        <v>111</v>
      </c>
      <c r="J268" s="15" t="s">
        <v>112</v>
      </c>
      <c r="K268" s="38" t="s">
        <v>111</v>
      </c>
      <c r="L268" s="15"/>
      <c r="M268" s="15"/>
      <c r="N268" s="15" t="s">
        <v>105</v>
      </c>
      <c r="O268" s="15">
        <f t="shared" ref="O268" si="261">COUNTIF(A268:L268,"Cortex")</f>
        <v>6</v>
      </c>
      <c r="Q268" s="217"/>
      <c r="R268" s="217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21"/>
    </row>
    <row r="269" spans="1:31" ht="15.75" customHeight="1" x14ac:dyDescent="0.3">
      <c r="A269" s="217"/>
      <c r="B269" s="2" t="s">
        <v>99</v>
      </c>
      <c r="C269" s="15"/>
      <c r="D269" s="15"/>
      <c r="E269" s="37">
        <v>16.789000000000001</v>
      </c>
      <c r="F269" s="15">
        <v>20.411000000000001</v>
      </c>
      <c r="G269" s="15">
        <v>23.945</v>
      </c>
      <c r="H269" s="15">
        <v>24.966000000000001</v>
      </c>
      <c r="I269" s="15">
        <v>25.829000000000001</v>
      </c>
      <c r="J269" s="15">
        <v>25.852</v>
      </c>
      <c r="K269" s="38">
        <v>24.744</v>
      </c>
      <c r="L269" s="15"/>
      <c r="M269" s="15"/>
      <c r="N269" s="15" t="s">
        <v>106</v>
      </c>
      <c r="O269" s="15">
        <f t="shared" ref="O269" si="262">O267-O268</f>
        <v>1</v>
      </c>
      <c r="Q269" s="217"/>
      <c r="R269" s="217"/>
      <c r="S269" s="2" t="s">
        <v>99</v>
      </c>
      <c r="T269" s="15"/>
      <c r="U269" s="15"/>
      <c r="V269" s="15">
        <f t="shared" ref="V269:AB269" si="263">E269*E274</f>
        <v>9.7376199999999997</v>
      </c>
      <c r="W269" s="15">
        <f t="shared" si="263"/>
        <v>8.9808400000000006</v>
      </c>
      <c r="X269" s="15">
        <f t="shared" si="263"/>
        <v>11.493599999999999</v>
      </c>
      <c r="Y269" s="15">
        <f t="shared" si="263"/>
        <v>12.483000000000001</v>
      </c>
      <c r="Z269" s="15">
        <f t="shared" si="263"/>
        <v>12.9145</v>
      </c>
      <c r="AA269" s="15">
        <f t="shared" si="263"/>
        <v>12.926</v>
      </c>
      <c r="AB269" s="15">
        <f t="shared" si="263"/>
        <v>12.372</v>
      </c>
      <c r="AC269" s="15"/>
      <c r="AD269" s="21">
        <f>SUM(T269:AC269)</f>
        <v>80.907560000000004</v>
      </c>
    </row>
    <row r="270" spans="1:31" ht="15.75" customHeight="1" x14ac:dyDescent="0.3">
      <c r="A270" s="217"/>
      <c r="B270" s="2" t="s">
        <v>100</v>
      </c>
      <c r="C270" s="15"/>
      <c r="D270" s="15"/>
      <c r="E270" s="37">
        <v>18.007000000000001</v>
      </c>
      <c r="F270" s="15">
        <v>20.574000000000002</v>
      </c>
      <c r="G270" s="15">
        <v>23.732000000000003</v>
      </c>
      <c r="H270" s="15">
        <v>24.760999999999999</v>
      </c>
      <c r="I270" s="15">
        <v>25.437999999999999</v>
      </c>
      <c r="J270" s="15">
        <v>25.268999999999998</v>
      </c>
      <c r="K270" s="38">
        <v>25.234999999999999</v>
      </c>
      <c r="L270" s="15"/>
      <c r="M270" s="15"/>
      <c r="N270" s="15" t="s">
        <v>113</v>
      </c>
      <c r="O270" s="16">
        <f t="shared" ref="O270" si="264">COUNTIF(A267:M267, "&gt;=0" )</f>
        <v>7</v>
      </c>
      <c r="Q270" s="217"/>
      <c r="R270" s="217"/>
      <c r="S270" s="2" t="s">
        <v>100</v>
      </c>
      <c r="T270" s="15"/>
      <c r="U270" s="15"/>
      <c r="V270" s="15">
        <f t="shared" ref="V270:AB270" si="265">E270*E274</f>
        <v>10.44406</v>
      </c>
      <c r="W270" s="15">
        <f t="shared" si="265"/>
        <v>9.0525600000000015</v>
      </c>
      <c r="X270" s="15">
        <f t="shared" si="265"/>
        <v>11.391360000000001</v>
      </c>
      <c r="Y270" s="15">
        <f t="shared" si="265"/>
        <v>12.3805</v>
      </c>
      <c r="Z270" s="15">
        <f t="shared" si="265"/>
        <v>12.718999999999999</v>
      </c>
      <c r="AA270" s="15">
        <f t="shared" si="265"/>
        <v>12.634499999999999</v>
      </c>
      <c r="AB270" s="15">
        <f t="shared" si="265"/>
        <v>12.6175</v>
      </c>
      <c r="AC270" s="15"/>
      <c r="AD270" s="21">
        <f>SUM(T270:AC270)</f>
        <v>81.239479999999986</v>
      </c>
    </row>
    <row r="271" spans="1:31" x14ac:dyDescent="0.3">
      <c r="A271" s="22"/>
      <c r="B271" s="2" t="s">
        <v>114</v>
      </c>
      <c r="C271" s="15"/>
      <c r="D271" s="15"/>
      <c r="E271" s="37">
        <v>17.703000000000003</v>
      </c>
      <c r="F271" s="15">
        <v>20.272000000000002</v>
      </c>
      <c r="G271" s="15">
        <v>22.428000000000004</v>
      </c>
      <c r="H271" s="15">
        <v>22.843</v>
      </c>
      <c r="I271" s="15">
        <v>23.283999999999999</v>
      </c>
      <c r="J271" s="15">
        <v>23.181999999999999</v>
      </c>
      <c r="K271" s="38">
        <v>23.295999999999999</v>
      </c>
      <c r="L271" s="15"/>
      <c r="M271" s="15"/>
      <c r="N271" s="15"/>
      <c r="O271" s="15"/>
      <c r="Q271" s="22"/>
      <c r="R271" s="22"/>
      <c r="S271" s="2" t="s">
        <v>114</v>
      </c>
      <c r="T271" s="15"/>
      <c r="U271" s="15"/>
      <c r="V271" s="15">
        <f t="shared" ref="V271:AB271" si="266">E271*E274</f>
        <v>10.267740000000002</v>
      </c>
      <c r="W271" s="15">
        <f t="shared" si="266"/>
        <v>8.9196800000000014</v>
      </c>
      <c r="X271" s="15">
        <f t="shared" si="266"/>
        <v>10.765440000000002</v>
      </c>
      <c r="Y271" s="15">
        <f t="shared" si="266"/>
        <v>11.4215</v>
      </c>
      <c r="Z271" s="15">
        <f t="shared" si="266"/>
        <v>11.641999999999999</v>
      </c>
      <c r="AA271" s="15">
        <f t="shared" si="266"/>
        <v>11.590999999999999</v>
      </c>
      <c r="AB271" s="15">
        <f t="shared" si="266"/>
        <v>11.648</v>
      </c>
      <c r="AC271" s="15"/>
      <c r="AD271" s="21">
        <f>SUM(T271:AC271)</f>
        <v>76.255359999999996</v>
      </c>
    </row>
    <row r="272" spans="1:31" x14ac:dyDescent="0.3">
      <c r="A272" s="22"/>
      <c r="C272" s="15"/>
      <c r="D272" s="15"/>
      <c r="E272" s="37"/>
      <c r="F272" s="15"/>
      <c r="G272" s="15"/>
      <c r="H272" s="15"/>
      <c r="I272" s="15"/>
      <c r="J272" s="15"/>
      <c r="K272" s="38"/>
      <c r="L272" s="15"/>
      <c r="M272" s="15"/>
      <c r="N272" s="15"/>
      <c r="O272" s="15"/>
      <c r="Q272" s="22"/>
      <c r="R272" s="22"/>
      <c r="S272" s="1" t="s">
        <v>115</v>
      </c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33">
        <f>(AD269-AD270)/AD269*100</f>
        <v>-0.41024596465396118</v>
      </c>
      <c r="AE272" s="25"/>
    </row>
    <row r="273" spans="1:31" x14ac:dyDescent="0.3">
      <c r="A273" s="22"/>
      <c r="C273" s="15"/>
      <c r="D273" s="15"/>
      <c r="E273" s="37"/>
      <c r="F273" s="15"/>
      <c r="G273" s="15"/>
      <c r="H273" s="15"/>
      <c r="I273" s="15"/>
      <c r="J273" s="15"/>
      <c r="K273" s="38"/>
      <c r="L273" s="15"/>
      <c r="M273" s="15"/>
      <c r="N273" s="15"/>
      <c r="O273" s="15"/>
      <c r="Q273" s="22"/>
      <c r="R273" s="22"/>
      <c r="S273" s="1" t="s">
        <v>103</v>
      </c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33">
        <f>AD269-AD271</f>
        <v>4.6522000000000077</v>
      </c>
      <c r="AE273" s="25"/>
    </row>
    <row r="274" spans="1:31" ht="16.2" thickBot="1" x14ac:dyDescent="0.35">
      <c r="A274" s="22"/>
      <c r="B274" s="2" t="s">
        <v>32</v>
      </c>
      <c r="C274" s="15"/>
      <c r="D274" s="15"/>
      <c r="E274" s="40">
        <v>0.57999999999999996</v>
      </c>
      <c r="F274" s="15">
        <v>0.44</v>
      </c>
      <c r="G274" s="15">
        <v>0.48</v>
      </c>
      <c r="H274" s="15">
        <v>0.5</v>
      </c>
      <c r="I274" s="15">
        <v>0.5</v>
      </c>
      <c r="J274" s="15">
        <v>0.5</v>
      </c>
      <c r="K274" s="41">
        <v>0.5</v>
      </c>
      <c r="L274" s="15"/>
      <c r="M274" s="15"/>
      <c r="N274" s="15"/>
      <c r="O274" s="15"/>
      <c r="P274" s="16"/>
      <c r="Q274" s="22"/>
      <c r="R274" s="22"/>
      <c r="S274" s="2" t="s">
        <v>97</v>
      </c>
      <c r="T274" s="219"/>
      <c r="U274" s="219"/>
      <c r="V274" s="219"/>
      <c r="W274" s="219"/>
      <c r="X274" s="219"/>
      <c r="Y274" s="219"/>
      <c r="Z274" s="219"/>
      <c r="AA274" s="219"/>
      <c r="AB274" s="219"/>
      <c r="AC274" s="219"/>
      <c r="AD274" s="39"/>
    </row>
    <row r="275" spans="1:31" ht="15.75" customHeight="1" x14ac:dyDescent="0.3">
      <c r="A275" s="216" t="s">
        <v>167</v>
      </c>
      <c r="B275" s="13" t="s">
        <v>98</v>
      </c>
      <c r="C275" s="14"/>
      <c r="D275" s="34">
        <v>0.69500000000000006</v>
      </c>
      <c r="E275" s="14">
        <v>2.2879999999999998</v>
      </c>
      <c r="F275" s="14">
        <v>2.016</v>
      </c>
      <c r="G275" s="14">
        <v>2.8879999999999999</v>
      </c>
      <c r="H275" s="14">
        <v>3.0950000000000002</v>
      </c>
      <c r="I275" s="14">
        <v>2.964</v>
      </c>
      <c r="J275" s="35">
        <v>3.0289999999999999</v>
      </c>
      <c r="K275" s="14"/>
      <c r="L275" s="14"/>
      <c r="M275" s="14"/>
      <c r="N275" s="15" t="s">
        <v>109</v>
      </c>
      <c r="O275" s="16">
        <f t="shared" ref="O275" si="267">COUNTIF(A275:L275, "&gt;0" )</f>
        <v>7</v>
      </c>
      <c r="Q275" s="216" t="s">
        <v>167</v>
      </c>
      <c r="R275" s="216" t="s">
        <v>2</v>
      </c>
      <c r="S275" s="36" t="s">
        <v>98</v>
      </c>
      <c r="T275" s="18"/>
      <c r="U275" s="18">
        <f t="shared" ref="U275:AA275" si="268">D275*D282</f>
        <v>0.37530000000000008</v>
      </c>
      <c r="V275" s="18">
        <f t="shared" si="268"/>
        <v>1.4185599999999998</v>
      </c>
      <c r="W275" s="18">
        <f t="shared" si="268"/>
        <v>0.60480000000000012</v>
      </c>
      <c r="X275" s="18">
        <f t="shared" si="268"/>
        <v>1.444</v>
      </c>
      <c r="Y275" s="18">
        <f t="shared" si="268"/>
        <v>1.7332000000000003</v>
      </c>
      <c r="Z275" s="18">
        <f t="shared" si="268"/>
        <v>1.42272</v>
      </c>
      <c r="AA275" s="18">
        <f t="shared" si="268"/>
        <v>1.3327599999999999</v>
      </c>
      <c r="AB275" s="18"/>
      <c r="AC275" s="18"/>
      <c r="AD275" s="33">
        <f>SUM(T275:AC275)</f>
        <v>8.3313400000000009</v>
      </c>
      <c r="AE275" s="25"/>
    </row>
    <row r="276" spans="1:31" ht="15.75" customHeight="1" x14ac:dyDescent="0.3">
      <c r="A276" s="217"/>
      <c r="B276" s="2" t="s">
        <v>110</v>
      </c>
      <c r="C276" s="15"/>
      <c r="D276" s="37" t="s">
        <v>111</v>
      </c>
      <c r="E276" s="15" t="s">
        <v>111</v>
      </c>
      <c r="F276" s="15" t="s">
        <v>112</v>
      </c>
      <c r="G276" s="15" t="s">
        <v>112</v>
      </c>
      <c r="H276" s="15" t="s">
        <v>112</v>
      </c>
      <c r="I276" s="15" t="s">
        <v>111</v>
      </c>
      <c r="J276" s="38" t="s">
        <v>111</v>
      </c>
      <c r="K276" s="15"/>
      <c r="L276" s="15"/>
      <c r="M276" s="15"/>
      <c r="N276" s="15" t="s">
        <v>105</v>
      </c>
      <c r="O276" s="15">
        <f t="shared" ref="O276" si="269">COUNTIF(A276:L276,"Cortex")</f>
        <v>4</v>
      </c>
      <c r="Q276" s="217"/>
      <c r="R276" s="217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21"/>
    </row>
    <row r="277" spans="1:31" ht="15.75" customHeight="1" x14ac:dyDescent="0.3">
      <c r="A277" s="217"/>
      <c r="B277" s="2" t="s">
        <v>99</v>
      </c>
      <c r="C277" s="15"/>
      <c r="D277" s="37">
        <v>16.831</v>
      </c>
      <c r="E277" s="15">
        <v>19.591000000000001</v>
      </c>
      <c r="F277" s="15">
        <v>22.506</v>
      </c>
      <c r="G277" s="15">
        <v>23.263999999999999</v>
      </c>
      <c r="H277" s="15">
        <v>24.577999999999999</v>
      </c>
      <c r="I277" s="15">
        <v>26.411999999999999</v>
      </c>
      <c r="J277" s="38">
        <v>27.437000000000001</v>
      </c>
      <c r="K277" s="15"/>
      <c r="L277" s="15"/>
      <c r="M277" s="15"/>
      <c r="N277" s="15" t="s">
        <v>106</v>
      </c>
      <c r="O277" s="15">
        <f t="shared" ref="O277" si="270">O275-O276</f>
        <v>3</v>
      </c>
      <c r="Q277" s="217"/>
      <c r="R277" s="217"/>
      <c r="S277" s="2" t="s">
        <v>99</v>
      </c>
      <c r="T277" s="15"/>
      <c r="U277" s="15">
        <f t="shared" ref="U277:AA277" si="271">D277*D282</f>
        <v>9.0887399999999996</v>
      </c>
      <c r="V277" s="15">
        <f t="shared" si="271"/>
        <v>12.146420000000001</v>
      </c>
      <c r="W277" s="15">
        <f t="shared" si="271"/>
        <v>6.7518000000000011</v>
      </c>
      <c r="X277" s="15">
        <f t="shared" si="271"/>
        <v>11.632</v>
      </c>
      <c r="Y277" s="15">
        <f t="shared" si="271"/>
        <v>13.763680000000001</v>
      </c>
      <c r="Z277" s="15">
        <f t="shared" si="271"/>
        <v>12.677759999999999</v>
      </c>
      <c r="AA277" s="15">
        <f t="shared" si="271"/>
        <v>12.072280000000001</v>
      </c>
      <c r="AB277" s="15"/>
      <c r="AC277" s="15"/>
      <c r="AD277" s="21">
        <f>SUM(T277:AC277)</f>
        <v>78.132680000000008</v>
      </c>
    </row>
    <row r="278" spans="1:31" ht="15.75" customHeight="1" x14ac:dyDescent="0.3">
      <c r="A278" s="217"/>
      <c r="B278" s="2" t="s">
        <v>100</v>
      </c>
      <c r="C278" s="15"/>
      <c r="D278" s="37">
        <v>17.059000000000001</v>
      </c>
      <c r="E278" s="15">
        <v>19.474</v>
      </c>
      <c r="F278" s="15">
        <v>21.821000000000002</v>
      </c>
      <c r="G278" s="15">
        <v>22.152999999999999</v>
      </c>
      <c r="H278" s="15">
        <v>23.94</v>
      </c>
      <c r="I278" s="15">
        <v>25.085999999999999</v>
      </c>
      <c r="J278" s="38">
        <v>25.562000000000001</v>
      </c>
      <c r="K278" s="15"/>
      <c r="L278" s="15"/>
      <c r="M278" s="15"/>
      <c r="N278" s="15" t="s">
        <v>113</v>
      </c>
      <c r="O278" s="16">
        <f t="shared" ref="O278" si="272">COUNTIF(A275:M275, "&gt;=0" )</f>
        <v>7</v>
      </c>
      <c r="Q278" s="217"/>
      <c r="R278" s="217"/>
      <c r="S278" s="2" t="s">
        <v>100</v>
      </c>
      <c r="T278" s="15"/>
      <c r="U278" s="15">
        <f t="shared" ref="U278:AA278" si="273">D278*D282</f>
        <v>9.2118600000000015</v>
      </c>
      <c r="V278" s="15">
        <f t="shared" si="273"/>
        <v>12.073880000000001</v>
      </c>
      <c r="W278" s="15">
        <f t="shared" si="273"/>
        <v>6.5463000000000013</v>
      </c>
      <c r="X278" s="15">
        <f t="shared" si="273"/>
        <v>11.076499999999999</v>
      </c>
      <c r="Y278" s="15">
        <f t="shared" si="273"/>
        <v>13.406400000000001</v>
      </c>
      <c r="Z278" s="15">
        <f t="shared" si="273"/>
        <v>12.041279999999999</v>
      </c>
      <c r="AA278" s="15">
        <f t="shared" si="273"/>
        <v>11.24728</v>
      </c>
      <c r="AB278" s="15"/>
      <c r="AC278" s="15"/>
      <c r="AD278" s="21">
        <f>SUM(T278:AC278)</f>
        <v>75.603500000000011</v>
      </c>
    </row>
    <row r="279" spans="1:31" x14ac:dyDescent="0.3">
      <c r="A279" s="22"/>
      <c r="B279" s="2" t="s">
        <v>114</v>
      </c>
      <c r="C279" s="15"/>
      <c r="D279" s="37">
        <v>16.364000000000001</v>
      </c>
      <c r="E279" s="15">
        <v>17.186</v>
      </c>
      <c r="F279" s="15">
        <v>19.805</v>
      </c>
      <c r="G279" s="15">
        <v>19.265000000000001</v>
      </c>
      <c r="H279" s="15">
        <v>20.845000000000002</v>
      </c>
      <c r="I279" s="15">
        <v>22.122</v>
      </c>
      <c r="J279" s="38">
        <v>22.533000000000001</v>
      </c>
      <c r="K279" s="15"/>
      <c r="L279" s="15"/>
      <c r="M279" s="15"/>
      <c r="N279" s="15"/>
      <c r="O279" s="15"/>
      <c r="Q279" s="22"/>
      <c r="R279" s="22"/>
      <c r="S279" s="2" t="s">
        <v>114</v>
      </c>
      <c r="T279" s="15"/>
      <c r="U279" s="15">
        <f t="shared" ref="U279:AA279" si="274">D279*D282</f>
        <v>8.8365600000000004</v>
      </c>
      <c r="V279" s="15">
        <f t="shared" si="274"/>
        <v>10.65532</v>
      </c>
      <c r="W279" s="15">
        <f t="shared" si="274"/>
        <v>5.9415000000000004</v>
      </c>
      <c r="X279" s="15">
        <f t="shared" si="274"/>
        <v>9.6325000000000003</v>
      </c>
      <c r="Y279" s="15">
        <f t="shared" si="274"/>
        <v>11.673200000000003</v>
      </c>
      <c r="Z279" s="15">
        <f t="shared" si="274"/>
        <v>10.618559999999999</v>
      </c>
      <c r="AA279" s="15">
        <f t="shared" si="274"/>
        <v>9.9145200000000013</v>
      </c>
      <c r="AB279" s="15"/>
      <c r="AC279" s="15"/>
      <c r="AD279" s="21">
        <f>SUM(T279:AC279)</f>
        <v>67.27216</v>
      </c>
    </row>
    <row r="280" spans="1:31" x14ac:dyDescent="0.3">
      <c r="A280" s="22"/>
      <c r="C280" s="15"/>
      <c r="D280" s="37"/>
      <c r="E280" s="15"/>
      <c r="F280" s="15"/>
      <c r="G280" s="15"/>
      <c r="H280" s="15"/>
      <c r="I280" s="15"/>
      <c r="J280" s="38"/>
      <c r="K280" s="15"/>
      <c r="L280" s="15"/>
      <c r="M280" s="15"/>
      <c r="N280" s="15"/>
      <c r="O280" s="15"/>
      <c r="Q280" s="22"/>
      <c r="R280" s="22"/>
      <c r="S280" s="1" t="s">
        <v>115</v>
      </c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33">
        <f>(AD277-AD278)/AD277*100</f>
        <v>3.2370321867879053</v>
      </c>
      <c r="AE280" s="25"/>
    </row>
    <row r="281" spans="1:31" x14ac:dyDescent="0.3">
      <c r="A281" s="22"/>
      <c r="C281" s="15"/>
      <c r="D281" s="37"/>
      <c r="E281" s="15"/>
      <c r="F281" s="15"/>
      <c r="G281" s="15"/>
      <c r="H281" s="15"/>
      <c r="I281" s="15"/>
      <c r="J281" s="38"/>
      <c r="K281" s="15"/>
      <c r="L281" s="15"/>
      <c r="M281" s="15"/>
      <c r="N281" s="15"/>
      <c r="O281" s="15"/>
      <c r="Q281" s="22"/>
      <c r="R281" s="22"/>
      <c r="S281" s="1" t="s">
        <v>103</v>
      </c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33">
        <f>AD277-AD279</f>
        <v>10.860520000000008</v>
      </c>
      <c r="AE281" s="25"/>
    </row>
    <row r="282" spans="1:31" ht="16.2" thickBot="1" x14ac:dyDescent="0.35">
      <c r="A282" s="22"/>
      <c r="B282" s="2" t="s">
        <v>32</v>
      </c>
      <c r="C282" s="15"/>
      <c r="D282" s="37">
        <v>0.54</v>
      </c>
      <c r="E282" s="15">
        <v>0.62</v>
      </c>
      <c r="F282" s="15">
        <v>0.30000000000000004</v>
      </c>
      <c r="G282" s="15">
        <v>0.5</v>
      </c>
      <c r="H282" s="15">
        <v>0.56000000000000005</v>
      </c>
      <c r="I282" s="15">
        <v>0.48</v>
      </c>
      <c r="J282" s="41">
        <v>0.44</v>
      </c>
      <c r="K282" s="15"/>
      <c r="L282" s="15"/>
      <c r="M282" s="15"/>
      <c r="N282" s="15"/>
      <c r="O282" s="15"/>
      <c r="P282" s="16"/>
      <c r="Q282" s="22"/>
      <c r="R282" s="22"/>
      <c r="S282" s="2" t="s">
        <v>97</v>
      </c>
      <c r="T282" s="219"/>
      <c r="U282" s="219"/>
      <c r="V282" s="219"/>
      <c r="W282" s="219"/>
      <c r="X282" s="219"/>
      <c r="Y282" s="219"/>
      <c r="Z282" s="219"/>
      <c r="AA282" s="219"/>
      <c r="AB282" s="219"/>
      <c r="AC282" s="219"/>
      <c r="AD282" s="39"/>
    </row>
    <row r="283" spans="1:31" ht="15.75" customHeight="1" x14ac:dyDescent="0.3">
      <c r="A283" s="216" t="s">
        <v>168</v>
      </c>
      <c r="B283" s="13" t="s">
        <v>98</v>
      </c>
      <c r="C283" s="14"/>
      <c r="D283" s="14"/>
      <c r="E283" s="14"/>
      <c r="F283" s="34">
        <v>0.23200000000000001</v>
      </c>
      <c r="G283" s="14">
        <v>0.71</v>
      </c>
      <c r="H283" s="14">
        <v>1.0229999999999999</v>
      </c>
      <c r="I283" s="14">
        <v>1.4890000000000001</v>
      </c>
      <c r="J283" s="14">
        <v>1.8149999999999999</v>
      </c>
      <c r="K283" s="14">
        <v>0.55300000000000005</v>
      </c>
      <c r="L283" s="35">
        <v>0.30300000000000005</v>
      </c>
      <c r="M283" s="14"/>
      <c r="N283" s="15" t="s">
        <v>109</v>
      </c>
      <c r="O283" s="16">
        <f t="shared" ref="O283" si="275">COUNTIF(A283:L283, "&gt;0" )</f>
        <v>7</v>
      </c>
      <c r="Q283" s="216" t="s">
        <v>168</v>
      </c>
      <c r="R283" s="216" t="s">
        <v>2</v>
      </c>
      <c r="S283" s="36" t="s">
        <v>98</v>
      </c>
      <c r="T283" s="18"/>
      <c r="U283" s="18"/>
      <c r="V283" s="18"/>
      <c r="W283" s="18">
        <f t="shared" ref="W283:AC283" si="276">F283*F290</f>
        <v>0.11600000000000001</v>
      </c>
      <c r="X283" s="18">
        <f t="shared" si="276"/>
        <v>0.35499999999999998</v>
      </c>
      <c r="Y283" s="18">
        <f t="shared" si="276"/>
        <v>0.51149999999999995</v>
      </c>
      <c r="Z283" s="18">
        <f t="shared" si="276"/>
        <v>0.74450000000000005</v>
      </c>
      <c r="AA283" s="18">
        <f t="shared" si="276"/>
        <v>0.90749999999999997</v>
      </c>
      <c r="AB283" s="18">
        <f t="shared" si="276"/>
        <v>0.28756000000000004</v>
      </c>
      <c r="AC283" s="18">
        <f t="shared" si="276"/>
        <v>0.15756000000000003</v>
      </c>
      <c r="AD283" s="33">
        <f>SUM(T283:AC283)</f>
        <v>3.0796200000000002</v>
      </c>
      <c r="AE283" s="25"/>
    </row>
    <row r="284" spans="1:31" ht="15.75" customHeight="1" x14ac:dyDescent="0.3">
      <c r="A284" s="217"/>
      <c r="B284" s="2" t="s">
        <v>110</v>
      </c>
      <c r="C284" s="15"/>
      <c r="D284" s="15"/>
      <c r="E284" s="15"/>
      <c r="F284" s="37" t="s">
        <v>111</v>
      </c>
      <c r="G284" s="15" t="s">
        <v>111</v>
      </c>
      <c r="H284" s="15" t="s">
        <v>111</v>
      </c>
      <c r="I284" s="15" t="s">
        <v>111</v>
      </c>
      <c r="J284" s="15" t="s">
        <v>112</v>
      </c>
      <c r="K284" s="15" t="s">
        <v>112</v>
      </c>
      <c r="L284" s="38" t="s">
        <v>111</v>
      </c>
      <c r="M284" s="15"/>
      <c r="N284" s="15" t="s">
        <v>105</v>
      </c>
      <c r="O284" s="15">
        <f t="shared" ref="O284" si="277">COUNTIF(A284:L284,"Cortex")</f>
        <v>5</v>
      </c>
      <c r="Q284" s="217"/>
      <c r="R284" s="217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21"/>
    </row>
    <row r="285" spans="1:31" ht="15.75" customHeight="1" x14ac:dyDescent="0.3">
      <c r="A285" s="217"/>
      <c r="B285" s="2" t="s">
        <v>99</v>
      </c>
      <c r="C285" s="15"/>
      <c r="D285" s="15"/>
      <c r="E285" s="15"/>
      <c r="F285" s="37">
        <v>18.315000000000001</v>
      </c>
      <c r="G285" s="15">
        <v>21.007999999999999</v>
      </c>
      <c r="H285" s="15">
        <v>22.832000000000001</v>
      </c>
      <c r="I285" s="15">
        <v>23.675999999999998</v>
      </c>
      <c r="J285" s="15">
        <v>24.041</v>
      </c>
      <c r="K285" s="15">
        <v>24.010999999999999</v>
      </c>
      <c r="L285" s="38">
        <v>25.074000000000002</v>
      </c>
      <c r="M285" s="15"/>
      <c r="N285" s="15" t="s">
        <v>106</v>
      </c>
      <c r="O285" s="15">
        <f t="shared" ref="O285" si="278">O283-O284</f>
        <v>2</v>
      </c>
      <c r="Q285" s="217"/>
      <c r="R285" s="217"/>
      <c r="S285" s="2" t="s">
        <v>99</v>
      </c>
      <c r="T285" s="15"/>
      <c r="U285" s="15"/>
      <c r="V285" s="15"/>
      <c r="W285" s="15">
        <f t="shared" ref="W285:AC285" si="279">F285*F290</f>
        <v>9.1575000000000006</v>
      </c>
      <c r="X285" s="15">
        <f t="shared" si="279"/>
        <v>10.504</v>
      </c>
      <c r="Y285" s="15">
        <f t="shared" si="279"/>
        <v>11.416</v>
      </c>
      <c r="Z285" s="15">
        <f t="shared" si="279"/>
        <v>11.837999999999999</v>
      </c>
      <c r="AA285" s="15">
        <f t="shared" si="279"/>
        <v>12.0205</v>
      </c>
      <c r="AB285" s="15">
        <f t="shared" si="279"/>
        <v>12.485720000000001</v>
      </c>
      <c r="AC285" s="15">
        <f t="shared" si="279"/>
        <v>13.038480000000002</v>
      </c>
      <c r="AD285" s="21">
        <f>SUM(T285:AC285)</f>
        <v>80.4602</v>
      </c>
    </row>
    <row r="286" spans="1:31" ht="15.75" customHeight="1" x14ac:dyDescent="0.3">
      <c r="A286" s="217"/>
      <c r="B286" s="2" t="s">
        <v>100</v>
      </c>
      <c r="C286" s="15"/>
      <c r="D286" s="15"/>
      <c r="E286" s="15"/>
      <c r="F286" s="37">
        <v>16.692</v>
      </c>
      <c r="G286" s="15">
        <v>18.440999999999999</v>
      </c>
      <c r="H286" s="15">
        <v>19.616</v>
      </c>
      <c r="I286" s="15">
        <v>21.869</v>
      </c>
      <c r="J286" s="15">
        <v>22.585000000000001</v>
      </c>
      <c r="K286" s="15">
        <v>22.786999999999999</v>
      </c>
      <c r="L286" s="38">
        <v>24.434000000000001</v>
      </c>
      <c r="M286" s="15"/>
      <c r="N286" s="15" t="s">
        <v>113</v>
      </c>
      <c r="O286" s="16">
        <f t="shared" ref="O286" si="280">COUNTIF(A283:M283, "&gt;=0" )</f>
        <v>7</v>
      </c>
      <c r="Q286" s="217"/>
      <c r="R286" s="217"/>
      <c r="S286" s="2" t="s">
        <v>100</v>
      </c>
      <c r="T286" s="15"/>
      <c r="U286" s="15"/>
      <c r="V286" s="15"/>
      <c r="W286" s="15">
        <f t="shared" ref="W286:AC286" si="281">F286*F290</f>
        <v>8.3460000000000001</v>
      </c>
      <c r="X286" s="15">
        <f t="shared" si="281"/>
        <v>9.2204999999999995</v>
      </c>
      <c r="Y286" s="15">
        <f t="shared" si="281"/>
        <v>9.8079999999999998</v>
      </c>
      <c r="Z286" s="15">
        <f t="shared" si="281"/>
        <v>10.9345</v>
      </c>
      <c r="AA286" s="15">
        <f t="shared" si="281"/>
        <v>11.2925</v>
      </c>
      <c r="AB286" s="15">
        <f t="shared" si="281"/>
        <v>11.84924</v>
      </c>
      <c r="AC286" s="15">
        <f t="shared" si="281"/>
        <v>12.705680000000001</v>
      </c>
      <c r="AD286" s="21">
        <f>SUM(T286:AC286)</f>
        <v>74.156419999999997</v>
      </c>
    </row>
    <row r="287" spans="1:31" x14ac:dyDescent="0.3">
      <c r="A287" s="22"/>
      <c r="B287" s="2" t="s">
        <v>114</v>
      </c>
      <c r="C287" s="15"/>
      <c r="D287" s="15"/>
      <c r="E287" s="15"/>
      <c r="F287" s="37">
        <v>16.46</v>
      </c>
      <c r="G287" s="15">
        <v>17.730999999999998</v>
      </c>
      <c r="H287" s="15">
        <v>18.593</v>
      </c>
      <c r="I287" s="15">
        <v>20.38</v>
      </c>
      <c r="J287" s="15">
        <v>20.77</v>
      </c>
      <c r="K287" s="15">
        <v>22.233999999999998</v>
      </c>
      <c r="L287" s="38">
        <v>24.131</v>
      </c>
      <c r="M287" s="15"/>
      <c r="N287" s="15"/>
      <c r="O287" s="15"/>
      <c r="Q287" s="22"/>
      <c r="R287" s="22"/>
      <c r="S287" s="2" t="s">
        <v>114</v>
      </c>
      <c r="T287" s="15"/>
      <c r="U287" s="15"/>
      <c r="V287" s="15"/>
      <c r="W287" s="15">
        <f t="shared" ref="W287:AC287" si="282">F287*F290</f>
        <v>8.23</v>
      </c>
      <c r="X287" s="15">
        <f t="shared" si="282"/>
        <v>8.865499999999999</v>
      </c>
      <c r="Y287" s="15">
        <f t="shared" si="282"/>
        <v>9.2965</v>
      </c>
      <c r="Z287" s="15">
        <f t="shared" si="282"/>
        <v>10.19</v>
      </c>
      <c r="AA287" s="15">
        <f t="shared" si="282"/>
        <v>10.385</v>
      </c>
      <c r="AB287" s="15">
        <f t="shared" si="282"/>
        <v>11.561679999999999</v>
      </c>
      <c r="AC287" s="15">
        <f t="shared" si="282"/>
        <v>12.548120000000001</v>
      </c>
      <c r="AD287" s="21">
        <f>SUM(T287:AC287)</f>
        <v>71.076799999999992</v>
      </c>
    </row>
    <row r="288" spans="1:31" x14ac:dyDescent="0.3">
      <c r="A288" s="22"/>
      <c r="C288" s="15"/>
      <c r="D288" s="15"/>
      <c r="E288" s="15"/>
      <c r="F288" s="37"/>
      <c r="G288" s="15"/>
      <c r="H288" s="15"/>
      <c r="I288" s="15"/>
      <c r="J288" s="15"/>
      <c r="K288" s="15"/>
      <c r="L288" s="38"/>
      <c r="M288" s="15"/>
      <c r="N288" s="15"/>
      <c r="O288" s="15"/>
      <c r="Q288" s="22"/>
      <c r="R288" s="22"/>
      <c r="S288" s="1" t="s">
        <v>115</v>
      </c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33">
        <f>(AD285-AD286)/AD285*100</f>
        <v>7.8346561405514814</v>
      </c>
      <c r="AE288" s="25"/>
    </row>
    <row r="289" spans="1:31" x14ac:dyDescent="0.3">
      <c r="A289" s="22"/>
      <c r="C289" s="15"/>
      <c r="D289" s="15"/>
      <c r="E289" s="15"/>
      <c r="F289" s="37"/>
      <c r="G289" s="15"/>
      <c r="H289" s="15"/>
      <c r="I289" s="15"/>
      <c r="J289" s="15"/>
      <c r="K289" s="15"/>
      <c r="L289" s="38"/>
      <c r="M289" s="15"/>
      <c r="N289" s="15"/>
      <c r="O289" s="15"/>
      <c r="Q289" s="22"/>
      <c r="R289" s="22"/>
      <c r="S289" s="1" t="s">
        <v>103</v>
      </c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33">
        <f>AD285-AD287</f>
        <v>9.3834000000000088</v>
      </c>
      <c r="AE289" s="25"/>
    </row>
    <row r="290" spans="1:31" ht="16.2" thickBot="1" x14ac:dyDescent="0.35">
      <c r="A290" s="22"/>
      <c r="B290" s="2" t="s">
        <v>32</v>
      </c>
      <c r="C290" s="15"/>
      <c r="D290" s="15"/>
      <c r="E290" s="15"/>
      <c r="F290" s="37">
        <v>0.5</v>
      </c>
      <c r="G290" s="15">
        <v>0.5</v>
      </c>
      <c r="H290" s="15">
        <v>0.5</v>
      </c>
      <c r="I290" s="15">
        <v>0.5</v>
      </c>
      <c r="J290" s="15">
        <v>0.5</v>
      </c>
      <c r="K290" s="15">
        <v>0.52</v>
      </c>
      <c r="L290" s="41">
        <v>0.52</v>
      </c>
      <c r="M290" s="15"/>
      <c r="N290" s="15"/>
      <c r="O290" s="15"/>
      <c r="P290" s="16"/>
      <c r="Q290" s="22"/>
      <c r="R290" s="22"/>
      <c r="S290" s="2" t="s">
        <v>97</v>
      </c>
      <c r="T290" s="219"/>
      <c r="U290" s="219"/>
      <c r="V290" s="219"/>
      <c r="W290" s="219"/>
      <c r="X290" s="219"/>
      <c r="Y290" s="219"/>
      <c r="Z290" s="219"/>
      <c r="AA290" s="219"/>
      <c r="AB290" s="219"/>
      <c r="AC290" s="219"/>
      <c r="AD290" s="39"/>
    </row>
    <row r="291" spans="1:31" ht="15.75" customHeight="1" x14ac:dyDescent="0.3">
      <c r="A291" s="216" t="s">
        <v>169</v>
      </c>
      <c r="B291" s="13" t="s">
        <v>98</v>
      </c>
      <c r="C291" s="14"/>
      <c r="D291" s="14"/>
      <c r="E291" s="34">
        <v>3.47</v>
      </c>
      <c r="F291" s="14">
        <v>3.35</v>
      </c>
      <c r="G291" s="14">
        <v>4.1040000000000001</v>
      </c>
      <c r="H291" s="14">
        <v>4.6260000000000003</v>
      </c>
      <c r="I291" s="14">
        <v>4.4400000000000004</v>
      </c>
      <c r="J291" s="14">
        <v>3.5510000000000002</v>
      </c>
      <c r="K291" s="35">
        <v>3.2320000000000002</v>
      </c>
      <c r="L291" s="14"/>
      <c r="M291" s="14"/>
      <c r="N291" s="15" t="s">
        <v>109</v>
      </c>
      <c r="O291" s="16">
        <f t="shared" ref="O291" si="283">COUNTIF(A291:L291, "&gt;0" )</f>
        <v>7</v>
      </c>
      <c r="Q291" s="216" t="s">
        <v>169</v>
      </c>
      <c r="R291" s="216" t="s">
        <v>2</v>
      </c>
      <c r="S291" s="36" t="s">
        <v>98</v>
      </c>
      <c r="T291" s="18"/>
      <c r="U291" s="18"/>
      <c r="V291" s="18">
        <f t="shared" ref="V291:AB291" si="284">E291*E298</f>
        <v>1.5268000000000002</v>
      </c>
      <c r="W291" s="18">
        <f t="shared" si="284"/>
        <v>1.675</v>
      </c>
      <c r="X291" s="18">
        <f t="shared" si="284"/>
        <v>1.9699199999999999</v>
      </c>
      <c r="Y291" s="18">
        <f t="shared" si="284"/>
        <v>2.3130000000000002</v>
      </c>
      <c r="Z291" s="18">
        <f t="shared" si="284"/>
        <v>2.2200000000000002</v>
      </c>
      <c r="AA291" s="18">
        <f t="shared" si="284"/>
        <v>1.7755000000000001</v>
      </c>
      <c r="AB291" s="18">
        <f t="shared" si="284"/>
        <v>1.6160000000000001</v>
      </c>
      <c r="AC291" s="18"/>
      <c r="AD291" s="33">
        <f>SUM(T291:AC291)</f>
        <v>13.096220000000002</v>
      </c>
      <c r="AE291" s="25"/>
    </row>
    <row r="292" spans="1:31" ht="15.75" customHeight="1" x14ac:dyDescent="0.3">
      <c r="A292" s="217"/>
      <c r="B292" s="2" t="s">
        <v>110</v>
      </c>
      <c r="C292" s="15"/>
      <c r="D292" s="15"/>
      <c r="E292" s="37" t="s">
        <v>111</v>
      </c>
      <c r="F292" s="15" t="s">
        <v>111</v>
      </c>
      <c r="G292" s="15" t="s">
        <v>170</v>
      </c>
      <c r="H292" s="15" t="s">
        <v>170</v>
      </c>
      <c r="I292" s="15" t="s">
        <v>170</v>
      </c>
      <c r="J292" s="15" t="s">
        <v>112</v>
      </c>
      <c r="K292" s="38" t="s">
        <v>112</v>
      </c>
      <c r="L292" s="15"/>
      <c r="M292" s="15"/>
      <c r="N292" s="15" t="s">
        <v>105</v>
      </c>
      <c r="O292" s="15">
        <f t="shared" ref="O292" si="285">COUNTIF(A292:L292,"Cortex")</f>
        <v>2</v>
      </c>
      <c r="Q292" s="217"/>
      <c r="R292" s="217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21"/>
    </row>
    <row r="293" spans="1:31" ht="15.75" customHeight="1" x14ac:dyDescent="0.3">
      <c r="A293" s="217"/>
      <c r="B293" s="2" t="s">
        <v>99</v>
      </c>
      <c r="C293" s="15"/>
      <c r="D293" s="15"/>
      <c r="E293" s="37">
        <v>19.170999999999999</v>
      </c>
      <c r="F293" s="15">
        <v>19.981000000000002</v>
      </c>
      <c r="G293" s="15">
        <v>22.11</v>
      </c>
      <c r="H293" s="15">
        <v>24.701999999999998</v>
      </c>
      <c r="I293" s="15">
        <v>24.963000000000001</v>
      </c>
      <c r="J293" s="15">
        <v>25.79</v>
      </c>
      <c r="K293" s="38">
        <v>25.64</v>
      </c>
      <c r="L293" s="15"/>
      <c r="M293" s="15"/>
      <c r="N293" s="15" t="s">
        <v>106</v>
      </c>
      <c r="O293" s="15">
        <f t="shared" ref="O293" si="286">O291-O292</f>
        <v>5</v>
      </c>
      <c r="Q293" s="217"/>
      <c r="R293" s="217"/>
      <c r="S293" s="2" t="s">
        <v>99</v>
      </c>
      <c r="T293" s="15"/>
      <c r="U293" s="15"/>
      <c r="V293" s="15">
        <f t="shared" ref="V293:AB293" si="287">E293*E298</f>
        <v>8.4352400000000003</v>
      </c>
      <c r="W293" s="15">
        <f t="shared" si="287"/>
        <v>9.9905000000000008</v>
      </c>
      <c r="X293" s="15">
        <f t="shared" si="287"/>
        <v>10.6128</v>
      </c>
      <c r="Y293" s="15">
        <f t="shared" si="287"/>
        <v>12.350999999999999</v>
      </c>
      <c r="Z293" s="15">
        <f t="shared" si="287"/>
        <v>12.4815</v>
      </c>
      <c r="AA293" s="15">
        <f t="shared" si="287"/>
        <v>12.895</v>
      </c>
      <c r="AB293" s="15">
        <f t="shared" si="287"/>
        <v>12.82</v>
      </c>
      <c r="AC293" s="15"/>
      <c r="AD293" s="21">
        <f>SUM(T293:AC293)</f>
        <v>79.586039999999997</v>
      </c>
    </row>
    <row r="294" spans="1:31" ht="15.75" customHeight="1" x14ac:dyDescent="0.3">
      <c r="A294" s="217"/>
      <c r="B294" s="2" t="s">
        <v>100</v>
      </c>
      <c r="C294" s="15"/>
      <c r="D294" s="15"/>
      <c r="E294" s="37">
        <v>18.498000000000001</v>
      </c>
      <c r="F294" s="15">
        <v>18.946999999999999</v>
      </c>
      <c r="G294" s="15">
        <v>22.146000000000001</v>
      </c>
      <c r="H294" s="15">
        <v>24.41</v>
      </c>
      <c r="I294" s="15">
        <v>24.905999999999999</v>
      </c>
      <c r="J294" s="15">
        <v>26.664000000000001</v>
      </c>
      <c r="K294" s="38">
        <v>27.178000000000001</v>
      </c>
      <c r="L294" s="15"/>
      <c r="M294" s="15"/>
      <c r="N294" s="15" t="s">
        <v>113</v>
      </c>
      <c r="O294" s="16">
        <f t="shared" ref="O294" si="288">COUNTIF(A291:M291, "&gt;=0" )</f>
        <v>7</v>
      </c>
      <c r="Q294" s="217"/>
      <c r="R294" s="217"/>
      <c r="S294" s="2" t="s">
        <v>100</v>
      </c>
      <c r="T294" s="15"/>
      <c r="U294" s="15"/>
      <c r="V294" s="15">
        <f t="shared" ref="V294:AB294" si="289">E294*E298</f>
        <v>8.1391200000000001</v>
      </c>
      <c r="W294" s="15">
        <f t="shared" si="289"/>
        <v>9.4734999999999996</v>
      </c>
      <c r="X294" s="15">
        <f t="shared" si="289"/>
        <v>10.63008</v>
      </c>
      <c r="Y294" s="15">
        <f t="shared" si="289"/>
        <v>12.205</v>
      </c>
      <c r="Z294" s="15">
        <f t="shared" si="289"/>
        <v>12.452999999999999</v>
      </c>
      <c r="AA294" s="15">
        <f t="shared" si="289"/>
        <v>13.332000000000001</v>
      </c>
      <c r="AB294" s="15">
        <f t="shared" si="289"/>
        <v>13.589</v>
      </c>
      <c r="AC294" s="15"/>
      <c r="AD294" s="21">
        <f>SUM(T294:AC294)</f>
        <v>79.821699999999993</v>
      </c>
    </row>
    <row r="295" spans="1:31" x14ac:dyDescent="0.3">
      <c r="A295" s="22"/>
      <c r="B295" s="2" t="s">
        <v>114</v>
      </c>
      <c r="C295" s="15"/>
      <c r="D295" s="15"/>
      <c r="E295" s="37">
        <v>15.028</v>
      </c>
      <c r="F295" s="15">
        <v>15.597</v>
      </c>
      <c r="G295" s="15">
        <v>18.042000000000002</v>
      </c>
      <c r="H295" s="15">
        <v>19.783999999999999</v>
      </c>
      <c r="I295" s="15">
        <v>20.465999999999998</v>
      </c>
      <c r="J295" s="15">
        <v>23.113</v>
      </c>
      <c r="K295" s="38">
        <v>23.946000000000002</v>
      </c>
      <c r="L295" s="15"/>
      <c r="M295" s="15"/>
      <c r="N295" s="15"/>
      <c r="O295" s="15"/>
      <c r="Q295" s="22"/>
      <c r="R295" s="22"/>
      <c r="S295" s="2" t="s">
        <v>114</v>
      </c>
      <c r="T295" s="15"/>
      <c r="U295" s="15"/>
      <c r="V295" s="15">
        <f t="shared" ref="V295:AB295" si="290">E295*E298</f>
        <v>6.6123200000000004</v>
      </c>
      <c r="W295" s="15">
        <f t="shared" si="290"/>
        <v>7.7984999999999998</v>
      </c>
      <c r="X295" s="15">
        <f t="shared" si="290"/>
        <v>8.6601600000000012</v>
      </c>
      <c r="Y295" s="15">
        <f t="shared" si="290"/>
        <v>9.8919999999999995</v>
      </c>
      <c r="Z295" s="15">
        <f t="shared" si="290"/>
        <v>10.232999999999999</v>
      </c>
      <c r="AA295" s="15">
        <f t="shared" si="290"/>
        <v>11.5565</v>
      </c>
      <c r="AB295" s="15">
        <f t="shared" si="290"/>
        <v>11.973000000000001</v>
      </c>
      <c r="AC295" s="15"/>
      <c r="AD295" s="21">
        <f>SUM(T295:AC295)</f>
        <v>66.725480000000005</v>
      </c>
    </row>
    <row r="296" spans="1:31" x14ac:dyDescent="0.3">
      <c r="A296" s="22"/>
      <c r="C296" s="15"/>
      <c r="D296" s="15"/>
      <c r="E296" s="37"/>
      <c r="F296" s="15"/>
      <c r="G296" s="15"/>
      <c r="H296" s="15"/>
      <c r="I296" s="15"/>
      <c r="J296" s="15"/>
      <c r="K296" s="38"/>
      <c r="L296" s="15"/>
      <c r="M296" s="15"/>
      <c r="N296" s="15"/>
      <c r="O296" s="15"/>
      <c r="Q296" s="22"/>
      <c r="R296" s="22"/>
      <c r="S296" s="1" t="s">
        <v>115</v>
      </c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33">
        <f>(AD293-AD294)/AD293*100</f>
        <v>-0.29610720674127744</v>
      </c>
      <c r="AE296" s="25"/>
    </row>
    <row r="297" spans="1:31" x14ac:dyDescent="0.3">
      <c r="A297" s="22"/>
      <c r="C297" s="15"/>
      <c r="D297" s="15"/>
      <c r="E297" s="37"/>
      <c r="F297" s="15"/>
      <c r="G297" s="15"/>
      <c r="H297" s="15"/>
      <c r="I297" s="15"/>
      <c r="J297" s="15"/>
      <c r="K297" s="38"/>
      <c r="L297" s="15"/>
      <c r="M297" s="15"/>
      <c r="N297" s="15"/>
      <c r="O297" s="15"/>
      <c r="Q297" s="22"/>
      <c r="R297" s="22"/>
      <c r="S297" s="1" t="s">
        <v>103</v>
      </c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33">
        <f>AD293-AD295</f>
        <v>12.860559999999992</v>
      </c>
      <c r="AE297" s="25"/>
    </row>
    <row r="298" spans="1:31" ht="16.2" thickBot="1" x14ac:dyDescent="0.35">
      <c r="A298" s="22"/>
      <c r="B298" s="2" t="s">
        <v>32</v>
      </c>
      <c r="C298" s="15"/>
      <c r="D298" s="15"/>
      <c r="E298" s="37">
        <v>0.44</v>
      </c>
      <c r="F298" s="15">
        <v>0.5</v>
      </c>
      <c r="G298" s="15">
        <v>0.48</v>
      </c>
      <c r="H298" s="15">
        <v>0.5</v>
      </c>
      <c r="I298" s="15">
        <v>0.5</v>
      </c>
      <c r="J298" s="15">
        <v>0.5</v>
      </c>
      <c r="K298" s="38">
        <v>0.5</v>
      </c>
      <c r="L298" s="15"/>
      <c r="M298" s="15"/>
      <c r="N298" s="15"/>
      <c r="O298" s="15"/>
      <c r="P298" s="16"/>
      <c r="Q298" s="22"/>
      <c r="R298" s="22"/>
      <c r="S298" s="2" t="s">
        <v>97</v>
      </c>
      <c r="T298" s="219"/>
      <c r="U298" s="219"/>
      <c r="V298" s="219"/>
      <c r="W298" s="219"/>
      <c r="X298" s="219"/>
      <c r="Y298" s="219"/>
      <c r="Z298" s="219"/>
      <c r="AA298" s="219"/>
      <c r="AB298" s="219"/>
      <c r="AC298" s="219"/>
      <c r="AD298" s="39"/>
    </row>
    <row r="299" spans="1:31" ht="15.75" customHeight="1" x14ac:dyDescent="0.3">
      <c r="A299" s="216" t="s">
        <v>171</v>
      </c>
      <c r="B299" s="13" t="s">
        <v>98</v>
      </c>
      <c r="C299" s="14"/>
      <c r="D299" s="14"/>
      <c r="E299" s="34">
        <v>0.54100000000000004</v>
      </c>
      <c r="F299" s="14">
        <v>3.5609999999999999</v>
      </c>
      <c r="G299" s="14">
        <v>3.702</v>
      </c>
      <c r="H299" s="14">
        <v>2.7650000000000001</v>
      </c>
      <c r="I299" s="14">
        <v>2.6960000000000002</v>
      </c>
      <c r="J299" s="14">
        <v>3.0569999999999999</v>
      </c>
      <c r="K299" s="35">
        <v>3.19</v>
      </c>
      <c r="L299" s="14"/>
      <c r="M299" s="14"/>
      <c r="N299" s="15" t="s">
        <v>109</v>
      </c>
      <c r="O299" s="16">
        <f t="shared" ref="O299" si="291">COUNTIF(A299:L299, "&gt;0" )</f>
        <v>7</v>
      </c>
      <c r="Q299" s="216" t="s">
        <v>171</v>
      </c>
      <c r="R299" s="216" t="s">
        <v>2</v>
      </c>
      <c r="S299" s="36" t="s">
        <v>98</v>
      </c>
      <c r="T299" s="18"/>
      <c r="U299" s="18"/>
      <c r="V299" s="18">
        <f t="shared" ref="V299:AB299" si="292">E299*E306</f>
        <v>0.27050000000000002</v>
      </c>
      <c r="W299" s="18">
        <f t="shared" si="292"/>
        <v>1.7805</v>
      </c>
      <c r="X299" s="18">
        <f t="shared" si="292"/>
        <v>1.851</v>
      </c>
      <c r="Y299" s="18">
        <f t="shared" si="292"/>
        <v>1.3825000000000001</v>
      </c>
      <c r="Z299" s="18">
        <f t="shared" si="292"/>
        <v>1.3480000000000001</v>
      </c>
      <c r="AA299" s="18">
        <f t="shared" si="292"/>
        <v>1.5285</v>
      </c>
      <c r="AB299" s="18">
        <f t="shared" si="292"/>
        <v>1.595</v>
      </c>
      <c r="AC299" s="18"/>
      <c r="AD299" s="33">
        <f>SUM(T299:AC299)</f>
        <v>9.7560000000000002</v>
      </c>
      <c r="AE299" s="25"/>
    </row>
    <row r="300" spans="1:31" ht="15.75" customHeight="1" x14ac:dyDescent="0.3">
      <c r="A300" s="217"/>
      <c r="B300" s="2" t="s">
        <v>110</v>
      </c>
      <c r="C300" s="15"/>
      <c r="D300" s="15"/>
      <c r="E300" s="37" t="s">
        <v>111</v>
      </c>
      <c r="F300" s="15" t="s">
        <v>112</v>
      </c>
      <c r="G300" s="15" t="s">
        <v>112</v>
      </c>
      <c r="H300" s="15" t="s">
        <v>112</v>
      </c>
      <c r="I300" s="15" t="s">
        <v>112</v>
      </c>
      <c r="J300" s="15" t="s">
        <v>112</v>
      </c>
      <c r="K300" s="38" t="s">
        <v>111</v>
      </c>
      <c r="L300" s="15"/>
      <c r="M300" s="15"/>
      <c r="N300" s="15" t="s">
        <v>105</v>
      </c>
      <c r="O300" s="15">
        <f t="shared" ref="O300" si="293">COUNTIF(A300:L300,"Cortex")</f>
        <v>2</v>
      </c>
      <c r="Q300" s="217"/>
      <c r="R300" s="217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21"/>
    </row>
    <row r="301" spans="1:31" ht="15.75" customHeight="1" x14ac:dyDescent="0.3">
      <c r="A301" s="217"/>
      <c r="B301" s="2" t="s">
        <v>99</v>
      </c>
      <c r="C301" s="15"/>
      <c r="D301" s="15"/>
      <c r="E301" s="37">
        <v>13.613</v>
      </c>
      <c r="F301" s="15">
        <v>19.202999999999999</v>
      </c>
      <c r="G301" s="15">
        <v>20.64</v>
      </c>
      <c r="H301" s="15">
        <v>23.13</v>
      </c>
      <c r="I301" s="15">
        <v>23.6</v>
      </c>
      <c r="J301" s="15">
        <v>24.759</v>
      </c>
      <c r="K301" s="38">
        <v>25.366</v>
      </c>
      <c r="L301" s="15"/>
      <c r="M301" s="15"/>
      <c r="N301" s="15" t="s">
        <v>106</v>
      </c>
      <c r="O301" s="15">
        <f t="shared" ref="O301" si="294">O299-O300</f>
        <v>5</v>
      </c>
      <c r="Q301" s="217"/>
      <c r="R301" s="217"/>
      <c r="S301" s="2" t="s">
        <v>99</v>
      </c>
      <c r="T301" s="15"/>
      <c r="U301" s="15"/>
      <c r="V301" s="15">
        <f t="shared" ref="V301:AB301" si="295">E301*E306</f>
        <v>6.8064999999999998</v>
      </c>
      <c r="W301" s="15">
        <f t="shared" si="295"/>
        <v>9.6014999999999997</v>
      </c>
      <c r="X301" s="15">
        <f t="shared" si="295"/>
        <v>10.32</v>
      </c>
      <c r="Y301" s="15">
        <f t="shared" si="295"/>
        <v>11.565</v>
      </c>
      <c r="Z301" s="15">
        <f t="shared" si="295"/>
        <v>11.8</v>
      </c>
      <c r="AA301" s="15">
        <f t="shared" si="295"/>
        <v>12.3795</v>
      </c>
      <c r="AB301" s="15">
        <f t="shared" si="295"/>
        <v>12.683</v>
      </c>
      <c r="AC301" s="15"/>
      <c r="AD301" s="21">
        <f>SUM(T301:AC301)</f>
        <v>75.155500000000004</v>
      </c>
    </row>
    <row r="302" spans="1:31" ht="15.75" customHeight="1" x14ac:dyDescent="0.3">
      <c r="A302" s="217"/>
      <c r="B302" s="2" t="s">
        <v>100</v>
      </c>
      <c r="C302" s="15"/>
      <c r="D302" s="15"/>
      <c r="E302" s="37">
        <v>16.334</v>
      </c>
      <c r="F302" s="15">
        <v>18.149000000000001</v>
      </c>
      <c r="G302" s="15">
        <v>20.169</v>
      </c>
      <c r="H302" s="15">
        <v>21.414000000000001</v>
      </c>
      <c r="I302" s="15">
        <v>21.885999999999999</v>
      </c>
      <c r="J302" s="15">
        <v>22.85</v>
      </c>
      <c r="K302" s="38">
        <v>23.995999999999999</v>
      </c>
      <c r="L302" s="15"/>
      <c r="M302" s="15"/>
      <c r="N302" s="15" t="s">
        <v>113</v>
      </c>
      <c r="O302" s="16">
        <f t="shared" ref="O302" si="296">COUNTIF(A299:M299, "&gt;=0" )</f>
        <v>7</v>
      </c>
      <c r="Q302" s="217"/>
      <c r="R302" s="217"/>
      <c r="S302" s="2" t="s">
        <v>100</v>
      </c>
      <c r="T302" s="15"/>
      <c r="U302" s="15"/>
      <c r="V302" s="15">
        <f t="shared" ref="V302:AB302" si="297">E302*E306</f>
        <v>8.1669999999999998</v>
      </c>
      <c r="W302" s="15">
        <f t="shared" si="297"/>
        <v>9.0745000000000005</v>
      </c>
      <c r="X302" s="15">
        <f t="shared" si="297"/>
        <v>10.0845</v>
      </c>
      <c r="Y302" s="15">
        <f t="shared" si="297"/>
        <v>10.707000000000001</v>
      </c>
      <c r="Z302" s="15">
        <f t="shared" si="297"/>
        <v>10.943</v>
      </c>
      <c r="AA302" s="15">
        <f t="shared" si="297"/>
        <v>11.425000000000001</v>
      </c>
      <c r="AB302" s="15">
        <f t="shared" si="297"/>
        <v>11.997999999999999</v>
      </c>
      <c r="AC302" s="15"/>
      <c r="AD302" s="21">
        <f>SUM(T302:AC302)</f>
        <v>72.399000000000001</v>
      </c>
    </row>
    <row r="303" spans="1:31" x14ac:dyDescent="0.3">
      <c r="A303" s="22"/>
      <c r="B303" s="2" t="s">
        <v>114</v>
      </c>
      <c r="C303" s="15"/>
      <c r="D303" s="15"/>
      <c r="E303" s="37">
        <v>15.792999999999999</v>
      </c>
      <c r="F303" s="15">
        <v>14.588000000000001</v>
      </c>
      <c r="G303" s="15">
        <v>16.466999999999999</v>
      </c>
      <c r="H303" s="15">
        <v>18.649000000000001</v>
      </c>
      <c r="I303" s="15">
        <v>19.189999999999998</v>
      </c>
      <c r="J303" s="15">
        <v>19.793000000000003</v>
      </c>
      <c r="K303" s="38">
        <v>20.805999999999997</v>
      </c>
      <c r="L303" s="15"/>
      <c r="M303" s="15"/>
      <c r="N303" s="15"/>
      <c r="O303" s="15"/>
      <c r="Q303" s="22"/>
      <c r="R303" s="22"/>
      <c r="S303" s="2" t="s">
        <v>114</v>
      </c>
      <c r="T303" s="15"/>
      <c r="U303" s="15"/>
      <c r="V303" s="15">
        <f t="shared" ref="V303:AB303" si="298">E303*E306</f>
        <v>7.8964999999999996</v>
      </c>
      <c r="W303" s="15">
        <f t="shared" si="298"/>
        <v>7.2940000000000005</v>
      </c>
      <c r="X303" s="15">
        <f t="shared" si="298"/>
        <v>8.2334999999999994</v>
      </c>
      <c r="Y303" s="15">
        <f t="shared" si="298"/>
        <v>9.3245000000000005</v>
      </c>
      <c r="Z303" s="15">
        <f t="shared" si="298"/>
        <v>9.5949999999999989</v>
      </c>
      <c r="AA303" s="15">
        <f t="shared" si="298"/>
        <v>9.8965000000000014</v>
      </c>
      <c r="AB303" s="15">
        <f t="shared" si="298"/>
        <v>10.402999999999999</v>
      </c>
      <c r="AC303" s="15"/>
      <c r="AD303" s="21">
        <f>SUM(T303:AC303)</f>
        <v>62.643000000000001</v>
      </c>
    </row>
    <row r="304" spans="1:31" x14ac:dyDescent="0.3">
      <c r="A304" s="22"/>
      <c r="C304" s="15"/>
      <c r="D304" s="15"/>
      <c r="E304" s="37"/>
      <c r="F304" s="15"/>
      <c r="G304" s="15"/>
      <c r="H304" s="15"/>
      <c r="I304" s="15"/>
      <c r="J304" s="15"/>
      <c r="K304" s="38"/>
      <c r="L304" s="15"/>
      <c r="M304" s="15"/>
      <c r="N304" s="15"/>
      <c r="O304" s="15"/>
      <c r="Q304" s="22"/>
      <c r="R304" s="22"/>
      <c r="S304" s="1" t="s">
        <v>115</v>
      </c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33">
        <f>(AD301-AD302)/AD301*100</f>
        <v>3.6677289087292384</v>
      </c>
      <c r="AE304" s="25"/>
    </row>
    <row r="305" spans="1:31" x14ac:dyDescent="0.3">
      <c r="A305" s="22"/>
      <c r="C305" s="15"/>
      <c r="D305" s="15"/>
      <c r="E305" s="37"/>
      <c r="F305" s="15"/>
      <c r="G305" s="15"/>
      <c r="H305" s="15"/>
      <c r="I305" s="15"/>
      <c r="J305" s="15"/>
      <c r="K305" s="38"/>
      <c r="L305" s="15"/>
      <c r="M305" s="15"/>
      <c r="N305" s="15"/>
      <c r="O305" s="15"/>
      <c r="Q305" s="22"/>
      <c r="R305" s="22"/>
      <c r="S305" s="1" t="s">
        <v>103</v>
      </c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33">
        <f>AD301-AD303</f>
        <v>12.512500000000003</v>
      </c>
      <c r="AE305" s="25"/>
    </row>
    <row r="306" spans="1:31" ht="16.2" thickBot="1" x14ac:dyDescent="0.35">
      <c r="A306" s="22"/>
      <c r="B306" s="2" t="s">
        <v>32</v>
      </c>
      <c r="C306" s="15"/>
      <c r="D306" s="15"/>
      <c r="E306" s="37">
        <v>0.5</v>
      </c>
      <c r="F306" s="15">
        <v>0.5</v>
      </c>
      <c r="G306" s="15">
        <v>0.5</v>
      </c>
      <c r="H306" s="15">
        <v>0.5</v>
      </c>
      <c r="I306" s="15">
        <v>0.5</v>
      </c>
      <c r="J306" s="15">
        <v>0.5</v>
      </c>
      <c r="K306" s="38">
        <v>0.5</v>
      </c>
      <c r="L306" s="15"/>
      <c r="M306" s="15"/>
      <c r="N306" s="15"/>
      <c r="O306" s="15"/>
      <c r="P306" s="16"/>
      <c r="Q306" s="22"/>
      <c r="R306" s="22"/>
      <c r="S306" s="2" t="s">
        <v>97</v>
      </c>
      <c r="T306" s="219"/>
      <c r="U306" s="219"/>
      <c r="V306" s="219"/>
      <c r="W306" s="219"/>
      <c r="X306" s="219"/>
      <c r="Y306" s="219"/>
      <c r="Z306" s="219"/>
      <c r="AA306" s="219"/>
      <c r="AB306" s="219"/>
      <c r="AC306" s="219"/>
      <c r="AD306" s="39"/>
    </row>
    <row r="307" spans="1:31" ht="15.75" customHeight="1" x14ac:dyDescent="0.3">
      <c r="A307" s="216" t="s">
        <v>172</v>
      </c>
      <c r="B307" s="13" t="s">
        <v>98</v>
      </c>
      <c r="C307" s="14"/>
      <c r="D307" s="14"/>
      <c r="E307" s="34">
        <v>0.872</v>
      </c>
      <c r="F307" s="14">
        <v>3.2610000000000001</v>
      </c>
      <c r="G307" s="14">
        <v>3.5619999999999998</v>
      </c>
      <c r="H307" s="14">
        <v>4.1619999999999999</v>
      </c>
      <c r="I307" s="14">
        <v>3.5249999999999999</v>
      </c>
      <c r="J307" s="14">
        <v>3.5920000000000001</v>
      </c>
      <c r="K307" s="35">
        <v>1.627</v>
      </c>
      <c r="L307" s="14"/>
      <c r="M307" s="14"/>
      <c r="N307" s="15" t="s">
        <v>109</v>
      </c>
      <c r="O307" s="16">
        <f t="shared" ref="O307" si="299">COUNTIF(A307:L307, "&gt;0" )</f>
        <v>7</v>
      </c>
      <c r="Q307" s="216" t="s">
        <v>172</v>
      </c>
      <c r="R307" s="216" t="s">
        <v>2</v>
      </c>
      <c r="S307" s="36" t="s">
        <v>98</v>
      </c>
      <c r="T307" s="18"/>
      <c r="U307" s="18"/>
      <c r="V307" s="18">
        <f t="shared" ref="V307:AB307" si="300">E307*E314</f>
        <v>0.40112000000000003</v>
      </c>
      <c r="W307" s="18">
        <f t="shared" si="300"/>
        <v>1.6305000000000001</v>
      </c>
      <c r="X307" s="18">
        <f t="shared" si="300"/>
        <v>1.7809999999999999</v>
      </c>
      <c r="Y307" s="18">
        <f t="shared" si="300"/>
        <v>2.1642399999999999</v>
      </c>
      <c r="Z307" s="18">
        <f t="shared" si="300"/>
        <v>1.6919999999999999</v>
      </c>
      <c r="AA307" s="18">
        <f t="shared" si="300"/>
        <v>1.796</v>
      </c>
      <c r="AB307" s="18">
        <f t="shared" si="300"/>
        <v>0.91112000000000004</v>
      </c>
      <c r="AC307" s="18"/>
      <c r="AD307" s="33">
        <f>SUM(T307:AC307)</f>
        <v>10.37598</v>
      </c>
      <c r="AE307" s="25"/>
    </row>
    <row r="308" spans="1:31" ht="15.75" customHeight="1" x14ac:dyDescent="0.3">
      <c r="A308" s="217"/>
      <c r="B308" s="2" t="s">
        <v>110</v>
      </c>
      <c r="C308" s="15"/>
      <c r="D308" s="15"/>
      <c r="E308" s="37" t="s">
        <v>111</v>
      </c>
      <c r="F308" s="15" t="s">
        <v>111</v>
      </c>
      <c r="G308" s="15" t="s">
        <v>111</v>
      </c>
      <c r="H308" s="15" t="s">
        <v>111</v>
      </c>
      <c r="I308" s="15" t="s">
        <v>111</v>
      </c>
      <c r="J308" s="15" t="s">
        <v>112</v>
      </c>
      <c r="K308" s="38" t="s">
        <v>111</v>
      </c>
      <c r="L308" s="15"/>
      <c r="M308" s="15"/>
      <c r="N308" s="15" t="s">
        <v>105</v>
      </c>
      <c r="O308" s="15">
        <f t="shared" ref="O308" si="301">COUNTIF(A308:L308,"Cortex")</f>
        <v>6</v>
      </c>
      <c r="Q308" s="217"/>
      <c r="R308" s="217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21"/>
    </row>
    <row r="309" spans="1:31" ht="15.75" customHeight="1" x14ac:dyDescent="0.3">
      <c r="A309" s="217"/>
      <c r="B309" s="2" t="s">
        <v>99</v>
      </c>
      <c r="C309" s="15"/>
      <c r="D309" s="15"/>
      <c r="E309" s="37">
        <v>17.608000000000001</v>
      </c>
      <c r="F309" s="15">
        <v>20.077000000000002</v>
      </c>
      <c r="G309" s="15">
        <v>23.515999999999998</v>
      </c>
      <c r="H309" s="15">
        <v>24.029</v>
      </c>
      <c r="I309" s="15">
        <v>25.260999999999999</v>
      </c>
      <c r="J309" s="15">
        <v>25.666</v>
      </c>
      <c r="K309" s="38">
        <v>26.103000000000002</v>
      </c>
      <c r="L309" s="15"/>
      <c r="M309" s="15"/>
      <c r="N309" s="15" t="s">
        <v>106</v>
      </c>
      <c r="O309" s="15">
        <f t="shared" ref="O309" si="302">O307-O308</f>
        <v>1</v>
      </c>
      <c r="Q309" s="217"/>
      <c r="R309" s="217"/>
      <c r="S309" s="2" t="s">
        <v>99</v>
      </c>
      <c r="T309" s="15"/>
      <c r="U309" s="15"/>
      <c r="V309" s="15">
        <f t="shared" ref="V309:AB309" si="303">E309*E314</f>
        <v>8.0996800000000011</v>
      </c>
      <c r="W309" s="15">
        <f t="shared" si="303"/>
        <v>10.038500000000001</v>
      </c>
      <c r="X309" s="15">
        <f t="shared" si="303"/>
        <v>11.757999999999999</v>
      </c>
      <c r="Y309" s="15">
        <f t="shared" si="303"/>
        <v>12.49508</v>
      </c>
      <c r="Z309" s="15">
        <f t="shared" si="303"/>
        <v>12.12528</v>
      </c>
      <c r="AA309" s="15">
        <f t="shared" si="303"/>
        <v>12.833</v>
      </c>
      <c r="AB309" s="15">
        <f t="shared" si="303"/>
        <v>14.617680000000002</v>
      </c>
      <c r="AC309" s="15"/>
      <c r="AD309" s="21">
        <f>SUM(T309:AC309)</f>
        <v>81.967220000000012</v>
      </c>
    </row>
    <row r="310" spans="1:31" ht="15.75" customHeight="1" x14ac:dyDescent="0.3">
      <c r="A310" s="217"/>
      <c r="B310" s="2" t="s">
        <v>100</v>
      </c>
      <c r="C310" s="15"/>
      <c r="D310" s="15"/>
      <c r="E310" s="37">
        <v>17.446000000000002</v>
      </c>
      <c r="F310" s="15">
        <v>18.940999999999999</v>
      </c>
      <c r="G310" s="15">
        <v>23.194999999999997</v>
      </c>
      <c r="H310" s="15">
        <v>23.353999999999999</v>
      </c>
      <c r="I310" s="15">
        <v>24.096</v>
      </c>
      <c r="J310" s="15">
        <v>26.516999999999999</v>
      </c>
      <c r="K310" s="38">
        <v>26.335999999999999</v>
      </c>
      <c r="L310" s="15"/>
      <c r="M310" s="15"/>
      <c r="N310" s="15" t="s">
        <v>113</v>
      </c>
      <c r="O310" s="16">
        <f t="shared" ref="O310" si="304">COUNTIF(A307:M307, "&gt;=0" )</f>
        <v>7</v>
      </c>
      <c r="Q310" s="217"/>
      <c r="R310" s="217"/>
      <c r="S310" s="2" t="s">
        <v>100</v>
      </c>
      <c r="T310" s="15"/>
      <c r="U310" s="15"/>
      <c r="V310" s="15">
        <f t="shared" ref="V310:AB310" si="305">E310*E314</f>
        <v>8.0251600000000014</v>
      </c>
      <c r="W310" s="15">
        <f t="shared" si="305"/>
        <v>9.4704999999999995</v>
      </c>
      <c r="X310" s="15">
        <f t="shared" si="305"/>
        <v>11.597499999999998</v>
      </c>
      <c r="Y310" s="15">
        <f t="shared" si="305"/>
        <v>12.144080000000001</v>
      </c>
      <c r="Z310" s="15">
        <f t="shared" si="305"/>
        <v>11.566079999999999</v>
      </c>
      <c r="AA310" s="15">
        <f t="shared" si="305"/>
        <v>13.2585</v>
      </c>
      <c r="AB310" s="15">
        <f t="shared" si="305"/>
        <v>14.74816</v>
      </c>
      <c r="AC310" s="15"/>
      <c r="AD310" s="21">
        <f>SUM(T310:AC310)</f>
        <v>80.809979999999996</v>
      </c>
    </row>
    <row r="311" spans="1:31" x14ac:dyDescent="0.3">
      <c r="A311" s="22"/>
      <c r="B311" s="2" t="s">
        <v>114</v>
      </c>
      <c r="C311" s="15"/>
      <c r="D311" s="15"/>
      <c r="E311" s="37">
        <v>16.574000000000002</v>
      </c>
      <c r="F311" s="15">
        <v>15.68</v>
      </c>
      <c r="G311" s="15">
        <v>19.632999999999996</v>
      </c>
      <c r="H311" s="15">
        <v>19.192</v>
      </c>
      <c r="I311" s="15">
        <v>20.571000000000002</v>
      </c>
      <c r="J311" s="15">
        <v>22.925000000000001</v>
      </c>
      <c r="K311" s="38">
        <v>24.709</v>
      </c>
      <c r="L311" s="15"/>
      <c r="M311" s="15"/>
      <c r="N311" s="15"/>
      <c r="O311" s="15"/>
      <c r="Q311" s="22"/>
      <c r="R311" s="22"/>
      <c r="S311" s="2" t="s">
        <v>114</v>
      </c>
      <c r="T311" s="15"/>
      <c r="U311" s="15"/>
      <c r="V311" s="15">
        <f t="shared" ref="V311:AB311" si="306">E311*E314</f>
        <v>7.6240400000000008</v>
      </c>
      <c r="W311" s="15">
        <f t="shared" si="306"/>
        <v>7.84</v>
      </c>
      <c r="X311" s="15">
        <f t="shared" si="306"/>
        <v>9.8164999999999978</v>
      </c>
      <c r="Y311" s="15">
        <f t="shared" si="306"/>
        <v>9.9798400000000012</v>
      </c>
      <c r="Z311" s="15">
        <f t="shared" si="306"/>
        <v>9.8740800000000011</v>
      </c>
      <c r="AA311" s="15">
        <f t="shared" si="306"/>
        <v>11.4625</v>
      </c>
      <c r="AB311" s="15">
        <f t="shared" si="306"/>
        <v>13.837040000000002</v>
      </c>
      <c r="AC311" s="15"/>
      <c r="AD311" s="21">
        <f>SUM(T311:AC311)</f>
        <v>70.433999999999997</v>
      </c>
    </row>
    <row r="312" spans="1:31" x14ac:dyDescent="0.3">
      <c r="A312" s="22"/>
      <c r="C312" s="15"/>
      <c r="D312" s="15"/>
      <c r="E312" s="37"/>
      <c r="F312" s="15"/>
      <c r="G312" s="15"/>
      <c r="H312" s="15"/>
      <c r="I312" s="15"/>
      <c r="J312" s="15"/>
      <c r="K312" s="38"/>
      <c r="L312" s="15"/>
      <c r="M312" s="15"/>
      <c r="N312" s="15"/>
      <c r="O312" s="15"/>
      <c r="Q312" s="22"/>
      <c r="R312" s="22"/>
      <c r="S312" s="1" t="s">
        <v>115</v>
      </c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33">
        <f>(AD309-AD310)/AD309*100</f>
        <v>1.4118326814060738</v>
      </c>
      <c r="AE312" s="25"/>
    </row>
    <row r="313" spans="1:31" x14ac:dyDescent="0.3">
      <c r="A313" s="22"/>
      <c r="C313" s="15"/>
      <c r="D313" s="15"/>
      <c r="E313" s="37"/>
      <c r="F313" s="15"/>
      <c r="G313" s="15"/>
      <c r="H313" s="15"/>
      <c r="I313" s="15"/>
      <c r="J313" s="15"/>
      <c r="K313" s="38"/>
      <c r="L313" s="15"/>
      <c r="M313" s="15"/>
      <c r="N313" s="15"/>
      <c r="O313" s="15"/>
      <c r="Q313" s="22"/>
      <c r="R313" s="22"/>
      <c r="S313" s="1" t="s">
        <v>103</v>
      </c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33">
        <f>AD309-AD311</f>
        <v>11.533220000000014</v>
      </c>
      <c r="AE313" s="25"/>
    </row>
    <row r="314" spans="1:31" ht="16.2" thickBot="1" x14ac:dyDescent="0.35">
      <c r="A314" s="22"/>
      <c r="B314" s="2" t="s">
        <v>32</v>
      </c>
      <c r="C314" s="15"/>
      <c r="D314" s="15"/>
      <c r="E314" s="37">
        <v>0.46</v>
      </c>
      <c r="F314" s="15">
        <v>0.5</v>
      </c>
      <c r="G314" s="15">
        <v>0.5</v>
      </c>
      <c r="H314" s="15">
        <v>0.52</v>
      </c>
      <c r="I314" s="15">
        <v>0.48</v>
      </c>
      <c r="J314" s="15">
        <v>0.5</v>
      </c>
      <c r="K314" s="38">
        <v>0.56000000000000005</v>
      </c>
      <c r="L314" s="15"/>
      <c r="M314" s="15"/>
      <c r="N314" s="15"/>
      <c r="O314" s="15"/>
      <c r="P314" s="16"/>
      <c r="Q314" s="22"/>
      <c r="R314" s="22"/>
      <c r="S314" s="2" t="s">
        <v>97</v>
      </c>
      <c r="T314" s="219"/>
      <c r="U314" s="219"/>
      <c r="V314" s="219"/>
      <c r="W314" s="219"/>
      <c r="X314" s="219"/>
      <c r="Y314" s="219"/>
      <c r="Z314" s="219"/>
      <c r="AA314" s="219"/>
      <c r="AB314" s="219"/>
      <c r="AC314" s="219"/>
      <c r="AD314" s="39"/>
    </row>
    <row r="315" spans="1:31" ht="15.75" customHeight="1" x14ac:dyDescent="0.3">
      <c r="A315" s="216" t="s">
        <v>173</v>
      </c>
      <c r="B315" s="13" t="s">
        <v>98</v>
      </c>
      <c r="C315" s="14"/>
      <c r="D315" s="14"/>
      <c r="E315" s="34">
        <v>1.323</v>
      </c>
      <c r="F315" s="14">
        <v>2.5030000000000001</v>
      </c>
      <c r="G315" s="14">
        <v>2.5640000000000001</v>
      </c>
      <c r="H315" s="14">
        <v>3.7610000000000001</v>
      </c>
      <c r="I315" s="14">
        <v>3.581</v>
      </c>
      <c r="J315" s="14">
        <v>2.5720000000000001</v>
      </c>
      <c r="K315" s="35">
        <v>1.298</v>
      </c>
      <c r="L315" s="14"/>
      <c r="M315" s="14"/>
      <c r="N315" s="15" t="s">
        <v>109</v>
      </c>
      <c r="O315" s="16">
        <f t="shared" ref="O315" si="307">COUNTIF(A315:L315, "&gt;0" )</f>
        <v>7</v>
      </c>
      <c r="Q315" s="216" t="s">
        <v>173</v>
      </c>
      <c r="R315" s="216" t="s">
        <v>2</v>
      </c>
      <c r="S315" s="36" t="s">
        <v>98</v>
      </c>
      <c r="T315" s="18"/>
      <c r="U315" s="18"/>
      <c r="V315" s="18">
        <f t="shared" ref="V315:AB315" si="308">E315*E322</f>
        <v>0.66149999999999998</v>
      </c>
      <c r="W315" s="18">
        <f t="shared" si="308"/>
        <v>1.1513800000000001</v>
      </c>
      <c r="X315" s="18">
        <f t="shared" si="308"/>
        <v>1.4358400000000002</v>
      </c>
      <c r="Y315" s="18">
        <f t="shared" si="308"/>
        <v>1.8805000000000001</v>
      </c>
      <c r="Z315" s="18">
        <f t="shared" si="308"/>
        <v>1.5756399999999999</v>
      </c>
      <c r="AA315" s="18">
        <f t="shared" si="308"/>
        <v>1.286</v>
      </c>
      <c r="AB315" s="18">
        <f t="shared" si="308"/>
        <v>0.72688000000000008</v>
      </c>
      <c r="AC315" s="18"/>
      <c r="AD315" s="33">
        <f>SUM(T315:AC315)</f>
        <v>8.7177399999999992</v>
      </c>
      <c r="AE315" s="25"/>
    </row>
    <row r="316" spans="1:31" ht="15.75" customHeight="1" x14ac:dyDescent="0.3">
      <c r="A316" s="217"/>
      <c r="B316" s="2" t="s">
        <v>110</v>
      </c>
      <c r="C316" s="15"/>
      <c r="D316" s="15"/>
      <c r="E316" s="37" t="s">
        <v>111</v>
      </c>
      <c r="F316" s="15" t="s">
        <v>112</v>
      </c>
      <c r="G316" s="15" t="s">
        <v>112</v>
      </c>
      <c r="H316" s="15" t="s">
        <v>112</v>
      </c>
      <c r="I316" s="15" t="s">
        <v>112</v>
      </c>
      <c r="J316" s="15" t="s">
        <v>112</v>
      </c>
      <c r="K316" s="38" t="s">
        <v>112</v>
      </c>
      <c r="L316" s="15"/>
      <c r="M316" s="15"/>
      <c r="N316" s="15" t="s">
        <v>105</v>
      </c>
      <c r="O316" s="15">
        <f t="shared" ref="O316" si="309">COUNTIF(A316:L316,"Cortex")</f>
        <v>1</v>
      </c>
      <c r="Q316" s="217"/>
      <c r="R316" s="217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21"/>
    </row>
    <row r="317" spans="1:31" ht="15.75" customHeight="1" x14ac:dyDescent="0.3">
      <c r="A317" s="217"/>
      <c r="B317" s="2" t="s">
        <v>99</v>
      </c>
      <c r="C317" s="15"/>
      <c r="D317" s="15"/>
      <c r="E317" s="37">
        <v>17.003</v>
      </c>
      <c r="F317" s="15">
        <v>19.015000000000001</v>
      </c>
      <c r="G317" s="15">
        <v>21.463999999999999</v>
      </c>
      <c r="H317" s="15">
        <v>22.936</v>
      </c>
      <c r="I317" s="15">
        <v>24.844999999999999</v>
      </c>
      <c r="J317" s="15">
        <v>26.081</v>
      </c>
      <c r="K317" s="38">
        <v>26.923999999999999</v>
      </c>
      <c r="L317" s="15"/>
      <c r="M317" s="15"/>
      <c r="N317" s="15" t="s">
        <v>106</v>
      </c>
      <c r="O317" s="15">
        <f t="shared" ref="O317" si="310">O315-O316</f>
        <v>6</v>
      </c>
      <c r="Q317" s="217"/>
      <c r="R317" s="217"/>
      <c r="S317" s="2" t="s">
        <v>99</v>
      </c>
      <c r="T317" s="15"/>
      <c r="U317" s="15"/>
      <c r="V317" s="15">
        <f t="shared" ref="V317:AB317" si="311">E317*E322</f>
        <v>8.5015000000000001</v>
      </c>
      <c r="W317" s="15">
        <f t="shared" si="311"/>
        <v>8.7469000000000001</v>
      </c>
      <c r="X317" s="15">
        <f t="shared" si="311"/>
        <v>12.01984</v>
      </c>
      <c r="Y317" s="15">
        <f t="shared" si="311"/>
        <v>11.468</v>
      </c>
      <c r="Z317" s="15">
        <f t="shared" si="311"/>
        <v>10.931799999999999</v>
      </c>
      <c r="AA317" s="15">
        <f t="shared" si="311"/>
        <v>13.0405</v>
      </c>
      <c r="AB317" s="15">
        <f t="shared" si="311"/>
        <v>15.077440000000001</v>
      </c>
      <c r="AC317" s="15"/>
      <c r="AD317" s="21">
        <f>SUM(T317:AC317)</f>
        <v>79.785979999999981</v>
      </c>
    </row>
    <row r="318" spans="1:31" ht="15.75" customHeight="1" x14ac:dyDescent="0.3">
      <c r="A318" s="217"/>
      <c r="B318" s="2" t="s">
        <v>100</v>
      </c>
      <c r="C318" s="15"/>
      <c r="D318" s="15"/>
      <c r="E318" s="37">
        <v>15.068</v>
      </c>
      <c r="F318" s="15">
        <v>17.773</v>
      </c>
      <c r="G318" s="15">
        <v>20.239999999999998</v>
      </c>
      <c r="H318" s="15">
        <v>22.526</v>
      </c>
      <c r="I318" s="15">
        <v>25.099</v>
      </c>
      <c r="J318" s="15">
        <v>26.184000000000001</v>
      </c>
      <c r="K318" s="38">
        <v>27.260999999999999</v>
      </c>
      <c r="L318" s="15"/>
      <c r="M318" s="15"/>
      <c r="N318" s="15" t="s">
        <v>113</v>
      </c>
      <c r="O318" s="16">
        <f t="shared" ref="O318" si="312">COUNTIF(A315:M315, "&gt;=0" )</f>
        <v>7</v>
      </c>
      <c r="Q318" s="217"/>
      <c r="R318" s="217"/>
      <c r="S318" s="2" t="s">
        <v>100</v>
      </c>
      <c r="T318" s="15"/>
      <c r="U318" s="15"/>
      <c r="V318" s="15">
        <f t="shared" ref="V318:AB318" si="313">E318*E322</f>
        <v>7.5339999999999998</v>
      </c>
      <c r="W318" s="15">
        <f t="shared" si="313"/>
        <v>8.1755800000000001</v>
      </c>
      <c r="X318" s="15">
        <f t="shared" si="313"/>
        <v>11.3344</v>
      </c>
      <c r="Y318" s="15">
        <f t="shared" si="313"/>
        <v>11.263</v>
      </c>
      <c r="Z318" s="15">
        <f t="shared" si="313"/>
        <v>11.043559999999999</v>
      </c>
      <c r="AA318" s="15">
        <f t="shared" si="313"/>
        <v>13.092000000000001</v>
      </c>
      <c r="AB318" s="15">
        <f t="shared" si="313"/>
        <v>15.266160000000001</v>
      </c>
      <c r="AC318" s="15"/>
      <c r="AD318" s="21">
        <f>SUM(T318:AC318)</f>
        <v>77.708699999999993</v>
      </c>
    </row>
    <row r="319" spans="1:31" x14ac:dyDescent="0.3">
      <c r="A319" s="22"/>
      <c r="B319" s="2" t="s">
        <v>114</v>
      </c>
      <c r="C319" s="15"/>
      <c r="D319" s="15"/>
      <c r="E319" s="37">
        <v>13.744999999999999</v>
      </c>
      <c r="F319" s="15">
        <v>15.27</v>
      </c>
      <c r="G319" s="15">
        <v>17.675999999999998</v>
      </c>
      <c r="H319" s="15">
        <v>18.765000000000001</v>
      </c>
      <c r="I319" s="15">
        <v>21.518000000000001</v>
      </c>
      <c r="J319" s="15">
        <v>23.612000000000002</v>
      </c>
      <c r="K319" s="38">
        <v>25.963000000000001</v>
      </c>
      <c r="L319" s="15"/>
      <c r="M319" s="15"/>
      <c r="N319" s="15"/>
      <c r="O319" s="15"/>
      <c r="Q319" s="22"/>
      <c r="R319" s="22"/>
      <c r="S319" s="2" t="s">
        <v>114</v>
      </c>
      <c r="T319" s="15"/>
      <c r="U319" s="15"/>
      <c r="V319" s="15">
        <f t="shared" ref="V319:AB319" si="314">E319*E322</f>
        <v>6.8724999999999996</v>
      </c>
      <c r="W319" s="15">
        <f t="shared" si="314"/>
        <v>7.0242000000000004</v>
      </c>
      <c r="X319" s="15">
        <f t="shared" si="314"/>
        <v>9.8985599999999998</v>
      </c>
      <c r="Y319" s="15">
        <f t="shared" si="314"/>
        <v>9.3825000000000003</v>
      </c>
      <c r="Z319" s="15">
        <f t="shared" si="314"/>
        <v>9.4679200000000012</v>
      </c>
      <c r="AA319" s="15">
        <f t="shared" si="314"/>
        <v>11.806000000000001</v>
      </c>
      <c r="AB319" s="15">
        <f t="shared" si="314"/>
        <v>14.539280000000002</v>
      </c>
      <c r="AC319" s="15"/>
      <c r="AD319" s="21">
        <f>SUM(T319:AC319)</f>
        <v>68.990960000000001</v>
      </c>
    </row>
    <row r="320" spans="1:31" x14ac:dyDescent="0.3">
      <c r="A320" s="22"/>
      <c r="C320" s="15"/>
      <c r="D320" s="15"/>
      <c r="E320" s="37"/>
      <c r="F320" s="15"/>
      <c r="G320" s="15"/>
      <c r="H320" s="15"/>
      <c r="I320" s="15"/>
      <c r="J320" s="15"/>
      <c r="K320" s="38"/>
      <c r="L320" s="15"/>
      <c r="M320" s="15"/>
      <c r="N320" s="15"/>
      <c r="O320" s="15"/>
      <c r="Q320" s="22"/>
      <c r="R320" s="22"/>
      <c r="S320" s="1" t="s">
        <v>115</v>
      </c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33">
        <f>(AD317-AD318)/AD317*100</f>
        <v>2.603565187768563</v>
      </c>
      <c r="AE320" s="25"/>
    </row>
    <row r="321" spans="1:31" x14ac:dyDescent="0.3">
      <c r="A321" s="22"/>
      <c r="C321" s="15"/>
      <c r="D321" s="15"/>
      <c r="E321" s="37"/>
      <c r="F321" s="15"/>
      <c r="G321" s="15"/>
      <c r="H321" s="15"/>
      <c r="I321" s="15"/>
      <c r="J321" s="15"/>
      <c r="K321" s="38"/>
      <c r="L321" s="15"/>
      <c r="M321" s="15"/>
      <c r="N321" s="15"/>
      <c r="O321" s="15"/>
      <c r="Q321" s="22"/>
      <c r="R321" s="22"/>
      <c r="S321" s="1" t="s">
        <v>103</v>
      </c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33">
        <f>AD317-AD319</f>
        <v>10.79501999999998</v>
      </c>
      <c r="AE321" s="25"/>
    </row>
    <row r="322" spans="1:31" ht="16.2" thickBot="1" x14ac:dyDescent="0.35">
      <c r="A322" s="22"/>
      <c r="B322" s="2" t="s">
        <v>32</v>
      </c>
      <c r="C322" s="15"/>
      <c r="D322" s="15"/>
      <c r="E322" s="37">
        <v>0.5</v>
      </c>
      <c r="F322" s="15">
        <v>0.46</v>
      </c>
      <c r="G322" s="15">
        <v>0.56000000000000005</v>
      </c>
      <c r="H322" s="15">
        <v>0.5</v>
      </c>
      <c r="I322" s="15">
        <v>0.44</v>
      </c>
      <c r="J322" s="15">
        <v>0.5</v>
      </c>
      <c r="K322" s="38">
        <v>0.56000000000000005</v>
      </c>
      <c r="L322" s="15"/>
      <c r="M322" s="15"/>
      <c r="N322" s="15"/>
      <c r="O322" s="15"/>
      <c r="P322" s="16"/>
      <c r="Q322" s="22"/>
      <c r="R322" s="22"/>
      <c r="S322" s="2" t="s">
        <v>97</v>
      </c>
      <c r="T322" s="219"/>
      <c r="U322" s="219"/>
      <c r="V322" s="219"/>
      <c r="W322" s="219"/>
      <c r="X322" s="219"/>
      <c r="Y322" s="219"/>
      <c r="Z322" s="219"/>
      <c r="AA322" s="219"/>
      <c r="AB322" s="219"/>
      <c r="AC322" s="219"/>
      <c r="AD322" s="39"/>
    </row>
    <row r="323" spans="1:31" ht="15.75" customHeight="1" x14ac:dyDescent="0.3">
      <c r="A323" s="216" t="s">
        <v>174</v>
      </c>
      <c r="B323" s="13" t="s">
        <v>98</v>
      </c>
      <c r="C323" s="14"/>
      <c r="D323" s="14"/>
      <c r="E323" s="34">
        <v>0.78500000000000003</v>
      </c>
      <c r="F323" s="14">
        <v>2.0920000000000001</v>
      </c>
      <c r="G323" s="14">
        <v>2.871</v>
      </c>
      <c r="H323" s="14">
        <v>2.8639999999999999</v>
      </c>
      <c r="I323" s="14">
        <v>2.8559999999999999</v>
      </c>
      <c r="J323" s="14">
        <v>2.37</v>
      </c>
      <c r="K323" s="35">
        <v>0.51</v>
      </c>
      <c r="L323" s="14"/>
      <c r="M323" s="14"/>
      <c r="N323" s="15" t="s">
        <v>109</v>
      </c>
      <c r="O323" s="16">
        <f t="shared" ref="O323" si="315">COUNTIF(A323:L323, "&gt;0" )</f>
        <v>7</v>
      </c>
      <c r="Q323" s="216" t="s">
        <v>174</v>
      </c>
      <c r="R323" s="216" t="s">
        <v>2</v>
      </c>
      <c r="S323" s="36" t="s">
        <v>98</v>
      </c>
      <c r="T323" s="18"/>
      <c r="U323" s="18"/>
      <c r="V323" s="18">
        <f t="shared" ref="V323:AB323" si="316">E323*E330</f>
        <v>0.34540000000000004</v>
      </c>
      <c r="W323" s="18">
        <f t="shared" si="316"/>
        <v>1.0878400000000001</v>
      </c>
      <c r="X323" s="18">
        <f t="shared" si="316"/>
        <v>1.49292</v>
      </c>
      <c r="Y323" s="18">
        <f t="shared" si="316"/>
        <v>1.3174399999999999</v>
      </c>
      <c r="Z323" s="18">
        <f t="shared" si="316"/>
        <v>1.48512</v>
      </c>
      <c r="AA323" s="18">
        <f t="shared" si="316"/>
        <v>1.3746</v>
      </c>
      <c r="AB323" s="18">
        <f t="shared" si="316"/>
        <v>0.22440000000000002</v>
      </c>
      <c r="AC323" s="18"/>
      <c r="AD323" s="33">
        <f>SUM(T323:AC323)</f>
        <v>7.3277200000000011</v>
      </c>
      <c r="AE323" s="25"/>
    </row>
    <row r="324" spans="1:31" ht="15.75" customHeight="1" x14ac:dyDescent="0.3">
      <c r="A324" s="217"/>
      <c r="B324" s="2" t="s">
        <v>110</v>
      </c>
      <c r="C324" s="15"/>
      <c r="D324" s="15"/>
      <c r="E324" s="37" t="s">
        <v>111</v>
      </c>
      <c r="F324" s="15" t="s">
        <v>111</v>
      </c>
      <c r="G324" s="15" t="s">
        <v>111</v>
      </c>
      <c r="H324" s="15" t="s">
        <v>111</v>
      </c>
      <c r="I324" s="15" t="s">
        <v>111</v>
      </c>
      <c r="J324" s="15" t="s">
        <v>111</v>
      </c>
      <c r="K324" s="38" t="s">
        <v>111</v>
      </c>
      <c r="L324" s="15"/>
      <c r="M324" s="15"/>
      <c r="N324" s="15" t="s">
        <v>105</v>
      </c>
      <c r="O324" s="15">
        <f t="shared" ref="O324" si="317">COUNTIF(A324:L324,"Cortex")</f>
        <v>7</v>
      </c>
      <c r="Q324" s="217"/>
      <c r="R324" s="217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21"/>
    </row>
    <row r="325" spans="1:31" ht="15.75" customHeight="1" x14ac:dyDescent="0.3">
      <c r="A325" s="217"/>
      <c r="B325" s="2" t="s">
        <v>99</v>
      </c>
      <c r="C325" s="15"/>
      <c r="D325" s="15"/>
      <c r="E325" s="37">
        <v>17.527999999999999</v>
      </c>
      <c r="F325" s="15">
        <v>19.552</v>
      </c>
      <c r="G325" s="15">
        <v>22.306999999999999</v>
      </c>
      <c r="H325" s="15">
        <v>24.233000000000001</v>
      </c>
      <c r="I325" s="15">
        <v>24.084</v>
      </c>
      <c r="J325" s="15">
        <v>26.216999999999999</v>
      </c>
      <c r="K325" s="38">
        <v>26.687000000000001</v>
      </c>
      <c r="L325" s="15"/>
      <c r="M325" s="15"/>
      <c r="N325" s="15" t="s">
        <v>106</v>
      </c>
      <c r="O325" s="15">
        <f t="shared" ref="O325" si="318">O323-O324</f>
        <v>0</v>
      </c>
      <c r="Q325" s="217"/>
      <c r="R325" s="217"/>
      <c r="S325" s="2" t="s">
        <v>99</v>
      </c>
      <c r="T325" s="15"/>
      <c r="U325" s="15"/>
      <c r="V325" s="15">
        <f t="shared" ref="V325:AB325" si="319">E325*E330</f>
        <v>7.7123199999999992</v>
      </c>
      <c r="W325" s="15">
        <f t="shared" si="319"/>
        <v>10.16704</v>
      </c>
      <c r="X325" s="15">
        <f t="shared" si="319"/>
        <v>11.599639999999999</v>
      </c>
      <c r="Y325" s="15">
        <f t="shared" si="319"/>
        <v>11.147180000000001</v>
      </c>
      <c r="Z325" s="15">
        <f t="shared" si="319"/>
        <v>12.523680000000001</v>
      </c>
      <c r="AA325" s="15">
        <f t="shared" si="319"/>
        <v>15.205859999999998</v>
      </c>
      <c r="AB325" s="15">
        <f t="shared" si="319"/>
        <v>11.742280000000001</v>
      </c>
      <c r="AC325" s="15"/>
      <c r="AD325" s="21">
        <f>SUM(T325:AC325)</f>
        <v>80.097999999999985</v>
      </c>
    </row>
    <row r="326" spans="1:31" ht="15.75" customHeight="1" x14ac:dyDescent="0.3">
      <c r="A326" s="217"/>
      <c r="B326" s="2" t="s">
        <v>100</v>
      </c>
      <c r="C326" s="15"/>
      <c r="D326" s="15"/>
      <c r="E326" s="37">
        <v>16.808</v>
      </c>
      <c r="F326" s="15">
        <v>18.975999999999999</v>
      </c>
      <c r="G326" s="15">
        <v>20.308</v>
      </c>
      <c r="H326" s="15">
        <v>22.27</v>
      </c>
      <c r="I326" s="15">
        <v>23.728000000000002</v>
      </c>
      <c r="J326" s="15">
        <v>25.039000000000001</v>
      </c>
      <c r="K326" s="38">
        <v>26.175999999999998</v>
      </c>
      <c r="L326" s="15"/>
      <c r="M326" s="15"/>
      <c r="N326" s="15" t="s">
        <v>113</v>
      </c>
      <c r="O326" s="16">
        <f t="shared" ref="O326" si="320">COUNTIF(A323:M323, "&gt;=0" )</f>
        <v>7</v>
      </c>
      <c r="Q326" s="217"/>
      <c r="R326" s="217"/>
      <c r="S326" s="2" t="s">
        <v>100</v>
      </c>
      <c r="T326" s="15"/>
      <c r="U326" s="15"/>
      <c r="V326" s="15">
        <f t="shared" ref="V326:AB326" si="321">E326*E330</f>
        <v>7.3955200000000003</v>
      </c>
      <c r="W326" s="15">
        <f t="shared" si="321"/>
        <v>9.8675200000000007</v>
      </c>
      <c r="X326" s="15">
        <f t="shared" si="321"/>
        <v>10.56016</v>
      </c>
      <c r="Y326" s="15">
        <f t="shared" si="321"/>
        <v>10.244200000000001</v>
      </c>
      <c r="Z326" s="15">
        <f t="shared" si="321"/>
        <v>12.338560000000001</v>
      </c>
      <c r="AA326" s="15">
        <f t="shared" si="321"/>
        <v>14.52262</v>
      </c>
      <c r="AB326" s="15">
        <f t="shared" si="321"/>
        <v>11.517439999999999</v>
      </c>
      <c r="AC326" s="15"/>
      <c r="AD326" s="21">
        <f>SUM(T326:AC326)</f>
        <v>76.44601999999999</v>
      </c>
    </row>
    <row r="327" spans="1:31" x14ac:dyDescent="0.3">
      <c r="A327" s="22"/>
      <c r="B327" s="2" t="s">
        <v>114</v>
      </c>
      <c r="C327" s="15"/>
      <c r="D327" s="15"/>
      <c r="E327" s="37">
        <v>16.023</v>
      </c>
      <c r="F327" s="15">
        <v>16.884</v>
      </c>
      <c r="G327" s="15">
        <v>17.437000000000001</v>
      </c>
      <c r="H327" s="15">
        <v>19.405999999999999</v>
      </c>
      <c r="I327" s="15">
        <v>20.872</v>
      </c>
      <c r="J327" s="15">
        <v>22.669</v>
      </c>
      <c r="K327" s="38">
        <v>25.665999999999997</v>
      </c>
      <c r="L327" s="15"/>
      <c r="M327" s="15"/>
      <c r="N327" s="15"/>
      <c r="O327" s="15"/>
      <c r="Q327" s="22"/>
      <c r="R327" s="22"/>
      <c r="S327" s="2" t="s">
        <v>114</v>
      </c>
      <c r="T327" s="15"/>
      <c r="U327" s="15"/>
      <c r="V327" s="15">
        <f t="shared" ref="V327:AB327" si="322">E327*E330</f>
        <v>7.0501199999999997</v>
      </c>
      <c r="W327" s="15">
        <f t="shared" si="322"/>
        <v>8.7796800000000008</v>
      </c>
      <c r="X327" s="15">
        <f t="shared" si="322"/>
        <v>9.0672400000000017</v>
      </c>
      <c r="Y327" s="15">
        <f t="shared" si="322"/>
        <v>8.9267599999999998</v>
      </c>
      <c r="Z327" s="15">
        <f t="shared" si="322"/>
        <v>10.853440000000001</v>
      </c>
      <c r="AA327" s="15">
        <f t="shared" si="322"/>
        <v>13.148019999999999</v>
      </c>
      <c r="AB327" s="15">
        <f t="shared" si="322"/>
        <v>11.29304</v>
      </c>
      <c r="AC327" s="15"/>
      <c r="AD327" s="21">
        <f>SUM(T327:AC327)</f>
        <v>69.118300000000005</v>
      </c>
    </row>
    <row r="328" spans="1:31" x14ac:dyDescent="0.3">
      <c r="A328" s="22"/>
      <c r="C328" s="15"/>
      <c r="D328" s="15"/>
      <c r="E328" s="37"/>
      <c r="F328" s="15"/>
      <c r="G328" s="15"/>
      <c r="H328" s="15"/>
      <c r="I328" s="15"/>
      <c r="J328" s="15"/>
      <c r="K328" s="38"/>
      <c r="L328" s="15"/>
      <c r="M328" s="15"/>
      <c r="N328" s="15"/>
      <c r="O328" s="15"/>
      <c r="Q328" s="22"/>
      <c r="R328" s="22"/>
      <c r="S328" s="1" t="s">
        <v>115</v>
      </c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33">
        <f>(AD325-AD326)/AD325*100</f>
        <v>4.5593897475592344</v>
      </c>
      <c r="AE328" s="25"/>
    </row>
    <row r="329" spans="1:31" x14ac:dyDescent="0.3">
      <c r="A329" s="22"/>
      <c r="C329" s="15"/>
      <c r="D329" s="15"/>
      <c r="E329" s="37"/>
      <c r="F329" s="15"/>
      <c r="G329" s="15"/>
      <c r="H329" s="15"/>
      <c r="I329" s="15"/>
      <c r="J329" s="15"/>
      <c r="K329" s="38"/>
      <c r="L329" s="15"/>
      <c r="M329" s="15"/>
      <c r="N329" s="15"/>
      <c r="O329" s="15"/>
      <c r="Q329" s="22"/>
      <c r="R329" s="22"/>
      <c r="S329" s="1" t="s">
        <v>103</v>
      </c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33">
        <f>AD325-AD327</f>
        <v>10.97969999999998</v>
      </c>
      <c r="AE329" s="25"/>
    </row>
    <row r="330" spans="1:31" ht="16.2" thickBot="1" x14ac:dyDescent="0.35">
      <c r="A330" s="22"/>
      <c r="B330" s="2" t="s">
        <v>32</v>
      </c>
      <c r="C330" s="15"/>
      <c r="D330" s="15"/>
      <c r="E330" s="37">
        <v>0.44</v>
      </c>
      <c r="F330" s="15">
        <v>0.52</v>
      </c>
      <c r="G330" s="15">
        <v>0.52</v>
      </c>
      <c r="H330" s="15">
        <v>0.46</v>
      </c>
      <c r="I330" s="15">
        <v>0.52</v>
      </c>
      <c r="J330" s="15">
        <v>0.57999999999999996</v>
      </c>
      <c r="K330" s="38">
        <v>0.44</v>
      </c>
      <c r="L330" s="15"/>
      <c r="M330" s="15"/>
      <c r="N330" s="15"/>
      <c r="O330" s="15"/>
      <c r="P330" s="16"/>
      <c r="Q330" s="22"/>
      <c r="R330" s="22"/>
      <c r="S330" s="2" t="s">
        <v>97</v>
      </c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  <c r="AD330" s="39"/>
    </row>
    <row r="331" spans="1:31" ht="15.75" customHeight="1" x14ac:dyDescent="0.3">
      <c r="A331" s="216" t="s">
        <v>175</v>
      </c>
      <c r="B331" s="13" t="s">
        <v>98</v>
      </c>
      <c r="C331" s="14"/>
      <c r="D331" s="14"/>
      <c r="E331" s="34">
        <v>3.7959999999999998</v>
      </c>
      <c r="F331" s="14">
        <v>4.3390000000000004</v>
      </c>
      <c r="G331" s="14">
        <v>4.2089999999999996</v>
      </c>
      <c r="H331" s="14">
        <v>4.7629999999999999</v>
      </c>
      <c r="I331" s="14">
        <v>4.0339999999999998</v>
      </c>
      <c r="J331" s="14">
        <v>2.8679999999999999</v>
      </c>
      <c r="K331" s="35">
        <v>1.071</v>
      </c>
      <c r="L331" s="14"/>
      <c r="M331" s="14"/>
      <c r="N331" s="15" t="s">
        <v>109</v>
      </c>
      <c r="O331" s="16">
        <f t="shared" ref="O331" si="323">COUNTIF(A331:L331, "&gt;0" )</f>
        <v>7</v>
      </c>
      <c r="Q331" s="216" t="s">
        <v>175</v>
      </c>
      <c r="R331" s="216" t="s">
        <v>2</v>
      </c>
      <c r="S331" s="36" t="s">
        <v>98</v>
      </c>
      <c r="T331" s="18"/>
      <c r="U331" s="18"/>
      <c r="V331" s="18">
        <f t="shared" ref="V331:AB331" si="324">E331*E338</f>
        <v>1.8979999999999999</v>
      </c>
      <c r="W331" s="18">
        <f t="shared" si="324"/>
        <v>2.1695000000000002</v>
      </c>
      <c r="X331" s="18">
        <f t="shared" si="324"/>
        <v>2.1044999999999998</v>
      </c>
      <c r="Y331" s="18">
        <f t="shared" si="324"/>
        <v>2.4767600000000001</v>
      </c>
      <c r="Z331" s="18">
        <f t="shared" si="324"/>
        <v>1.9363199999999998</v>
      </c>
      <c r="AA331" s="18">
        <f t="shared" si="324"/>
        <v>1.4339999999999999</v>
      </c>
      <c r="AB331" s="18">
        <f t="shared" si="324"/>
        <v>0.57833999999999997</v>
      </c>
      <c r="AC331" s="18"/>
      <c r="AD331" s="33">
        <f>SUM(T331:AC331)</f>
        <v>12.59742</v>
      </c>
      <c r="AE331" s="25"/>
    </row>
    <row r="332" spans="1:31" ht="15.75" customHeight="1" x14ac:dyDescent="0.3">
      <c r="A332" s="217"/>
      <c r="B332" s="2" t="s">
        <v>110</v>
      </c>
      <c r="C332" s="15"/>
      <c r="D332" s="15"/>
      <c r="E332" s="37" t="s">
        <v>112</v>
      </c>
      <c r="F332" s="15" t="s">
        <v>112</v>
      </c>
      <c r="G332" s="15" t="s">
        <v>112</v>
      </c>
      <c r="H332" s="15" t="s">
        <v>112</v>
      </c>
      <c r="I332" s="15" t="s">
        <v>112</v>
      </c>
      <c r="J332" s="15" t="s">
        <v>111</v>
      </c>
      <c r="K332" s="38" t="s">
        <v>111</v>
      </c>
      <c r="L332" s="15"/>
      <c r="M332" s="15"/>
      <c r="N332" s="15" t="s">
        <v>105</v>
      </c>
      <c r="O332" s="15">
        <f t="shared" ref="O332" si="325">COUNTIF(A332:L332,"Cortex")</f>
        <v>2</v>
      </c>
      <c r="Q332" s="217"/>
      <c r="R332" s="217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21"/>
    </row>
    <row r="333" spans="1:31" ht="15.75" customHeight="1" x14ac:dyDescent="0.3">
      <c r="A333" s="217"/>
      <c r="B333" s="2" t="s">
        <v>99</v>
      </c>
      <c r="C333" s="15"/>
      <c r="D333" s="15"/>
      <c r="E333" s="37">
        <v>16.344000000000001</v>
      </c>
      <c r="F333" s="15">
        <v>19.212</v>
      </c>
      <c r="G333" s="15">
        <v>21.600999999999999</v>
      </c>
      <c r="H333" s="15">
        <v>22.46</v>
      </c>
      <c r="I333" s="15">
        <v>24.526</v>
      </c>
      <c r="J333" s="15">
        <v>26.337</v>
      </c>
      <c r="K333" s="38">
        <v>25.847000000000001</v>
      </c>
      <c r="L333" s="15"/>
      <c r="M333" s="15"/>
      <c r="N333" s="15" t="s">
        <v>106</v>
      </c>
      <c r="O333" s="15">
        <f t="shared" ref="O333" si="326">O331-O332</f>
        <v>5</v>
      </c>
      <c r="Q333" s="217"/>
      <c r="R333" s="217"/>
      <c r="S333" s="2" t="s">
        <v>99</v>
      </c>
      <c r="T333" s="15"/>
      <c r="U333" s="15"/>
      <c r="V333" s="15">
        <f t="shared" ref="V333:AB333" si="327">E333*E338</f>
        <v>8.1720000000000006</v>
      </c>
      <c r="W333" s="15">
        <f t="shared" si="327"/>
        <v>9.6059999999999999</v>
      </c>
      <c r="X333" s="15">
        <f t="shared" si="327"/>
        <v>10.8005</v>
      </c>
      <c r="Y333" s="15">
        <f t="shared" si="327"/>
        <v>11.679200000000002</v>
      </c>
      <c r="Z333" s="15">
        <f t="shared" si="327"/>
        <v>11.77248</v>
      </c>
      <c r="AA333" s="15">
        <f t="shared" si="327"/>
        <v>13.1685</v>
      </c>
      <c r="AB333" s="15">
        <f t="shared" si="327"/>
        <v>13.957380000000002</v>
      </c>
      <c r="AC333" s="15"/>
      <c r="AD333" s="21">
        <f>SUM(T333:AC333)</f>
        <v>79.156059999999997</v>
      </c>
    </row>
    <row r="334" spans="1:31" ht="15.75" customHeight="1" x14ac:dyDescent="0.3">
      <c r="A334" s="217"/>
      <c r="B334" s="2" t="s">
        <v>100</v>
      </c>
      <c r="C334" s="15"/>
      <c r="D334" s="15"/>
      <c r="E334" s="37">
        <v>19.911999999999999</v>
      </c>
      <c r="F334" s="15">
        <v>22.523</v>
      </c>
      <c r="G334" s="15">
        <v>23.914999999999999</v>
      </c>
      <c r="H334" s="15">
        <v>25.504000000000001</v>
      </c>
      <c r="I334" s="15">
        <v>25.864000000000001</v>
      </c>
      <c r="J334" s="15">
        <v>27.045000000000002</v>
      </c>
      <c r="K334" s="38">
        <v>27.63</v>
      </c>
      <c r="L334" s="15"/>
      <c r="M334" s="15"/>
      <c r="N334" s="15" t="s">
        <v>113</v>
      </c>
      <c r="O334" s="16">
        <f t="shared" ref="O334" si="328">COUNTIF(A331:M331, "&gt;=0" )</f>
        <v>7</v>
      </c>
      <c r="Q334" s="217"/>
      <c r="R334" s="217"/>
      <c r="S334" s="2" t="s">
        <v>100</v>
      </c>
      <c r="T334" s="15"/>
      <c r="U334" s="15"/>
      <c r="V334" s="15">
        <f t="shared" ref="V334:AB334" si="329">E334*E338</f>
        <v>9.9559999999999995</v>
      </c>
      <c r="W334" s="15">
        <f t="shared" si="329"/>
        <v>11.2615</v>
      </c>
      <c r="X334" s="15">
        <f t="shared" si="329"/>
        <v>11.9575</v>
      </c>
      <c r="Y334" s="15">
        <f t="shared" si="329"/>
        <v>13.262080000000001</v>
      </c>
      <c r="Z334" s="15">
        <f t="shared" si="329"/>
        <v>12.414719999999999</v>
      </c>
      <c r="AA334" s="15">
        <f t="shared" si="329"/>
        <v>13.522500000000001</v>
      </c>
      <c r="AB334" s="15">
        <f t="shared" si="329"/>
        <v>14.920200000000001</v>
      </c>
      <c r="AC334" s="15"/>
      <c r="AD334" s="21">
        <f>SUM(T334:AC334)</f>
        <v>87.294499999999999</v>
      </c>
    </row>
    <row r="335" spans="1:31" x14ac:dyDescent="0.3">
      <c r="A335" s="22"/>
      <c r="B335" s="2" t="s">
        <v>114</v>
      </c>
      <c r="C335" s="15"/>
      <c r="D335" s="15"/>
      <c r="E335" s="37">
        <v>16.116</v>
      </c>
      <c r="F335" s="15">
        <v>18.183999999999997</v>
      </c>
      <c r="G335" s="15">
        <v>19.706</v>
      </c>
      <c r="H335" s="15">
        <v>20.741</v>
      </c>
      <c r="I335" s="15">
        <v>21.830000000000002</v>
      </c>
      <c r="J335" s="15">
        <v>24.177000000000003</v>
      </c>
      <c r="K335" s="38">
        <v>26.558999999999997</v>
      </c>
      <c r="L335" s="15"/>
      <c r="M335" s="15"/>
      <c r="N335" s="15"/>
      <c r="O335" s="15"/>
      <c r="Q335" s="22"/>
      <c r="R335" s="22"/>
      <c r="S335" s="2" t="s">
        <v>114</v>
      </c>
      <c r="T335" s="15"/>
      <c r="U335" s="15"/>
      <c r="V335" s="15">
        <f t="shared" ref="V335:AB335" si="330">E335*E338</f>
        <v>8.0579999999999998</v>
      </c>
      <c r="W335" s="15">
        <f t="shared" si="330"/>
        <v>9.0919999999999987</v>
      </c>
      <c r="X335" s="15">
        <f t="shared" si="330"/>
        <v>9.8529999999999998</v>
      </c>
      <c r="Y335" s="15">
        <f t="shared" si="330"/>
        <v>10.78532</v>
      </c>
      <c r="Z335" s="15">
        <f t="shared" si="330"/>
        <v>10.478400000000001</v>
      </c>
      <c r="AA335" s="15">
        <f t="shared" si="330"/>
        <v>12.088500000000002</v>
      </c>
      <c r="AB335" s="15">
        <f t="shared" si="330"/>
        <v>14.341859999999999</v>
      </c>
      <c r="AC335" s="15"/>
      <c r="AD335" s="21">
        <f>SUM(T335:AC335)</f>
        <v>74.69708</v>
      </c>
    </row>
    <row r="336" spans="1:31" x14ac:dyDescent="0.3">
      <c r="A336" s="22"/>
      <c r="C336" s="15"/>
      <c r="D336" s="15"/>
      <c r="E336" s="37"/>
      <c r="F336" s="15"/>
      <c r="G336" s="15"/>
      <c r="H336" s="15"/>
      <c r="I336" s="15"/>
      <c r="J336" s="15"/>
      <c r="K336" s="38"/>
      <c r="L336" s="15"/>
      <c r="M336" s="15"/>
      <c r="N336" s="15"/>
      <c r="O336" s="15"/>
      <c r="Q336" s="22"/>
      <c r="R336" s="22"/>
      <c r="S336" s="1" t="s">
        <v>115</v>
      </c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33">
        <f>(AD333-AD334)/AD333*100</f>
        <v>-10.281512243029786</v>
      </c>
      <c r="AE336" s="25"/>
    </row>
    <row r="337" spans="1:31" x14ac:dyDescent="0.3">
      <c r="A337" s="22"/>
      <c r="C337" s="15"/>
      <c r="D337" s="15"/>
      <c r="E337" s="37"/>
      <c r="F337" s="15"/>
      <c r="G337" s="15"/>
      <c r="H337" s="15"/>
      <c r="I337" s="15"/>
      <c r="J337" s="15"/>
      <c r="K337" s="38"/>
      <c r="L337" s="15"/>
      <c r="M337" s="15"/>
      <c r="N337" s="15"/>
      <c r="O337" s="15"/>
      <c r="Q337" s="22"/>
      <c r="R337" s="22"/>
      <c r="S337" s="1" t="s">
        <v>103</v>
      </c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33">
        <f>AD333-AD335</f>
        <v>4.4589799999999968</v>
      </c>
      <c r="AE337" s="25"/>
    </row>
    <row r="338" spans="1:31" ht="16.2" thickBot="1" x14ac:dyDescent="0.35">
      <c r="A338" s="22"/>
      <c r="B338" s="2" t="s">
        <v>32</v>
      </c>
      <c r="C338" s="15"/>
      <c r="D338" s="15"/>
      <c r="E338" s="40">
        <v>0.5</v>
      </c>
      <c r="F338" s="15">
        <v>0.5</v>
      </c>
      <c r="G338" s="15">
        <v>0.5</v>
      </c>
      <c r="H338" s="15">
        <v>0.52</v>
      </c>
      <c r="I338" s="15">
        <v>0.48</v>
      </c>
      <c r="J338" s="15">
        <v>0.5</v>
      </c>
      <c r="K338" s="41">
        <v>0.54</v>
      </c>
      <c r="L338" s="15"/>
      <c r="M338" s="15"/>
      <c r="N338" s="15"/>
      <c r="O338" s="15"/>
      <c r="P338" s="16"/>
      <c r="Q338" s="22"/>
      <c r="R338" s="22"/>
      <c r="S338" s="2" t="s">
        <v>97</v>
      </c>
      <c r="T338" s="219"/>
      <c r="U338" s="219"/>
      <c r="V338" s="219"/>
      <c r="W338" s="219"/>
      <c r="X338" s="219"/>
      <c r="Y338" s="219"/>
      <c r="Z338" s="219"/>
      <c r="AA338" s="219"/>
      <c r="AB338" s="219"/>
      <c r="AC338" s="219"/>
      <c r="AD338" s="39"/>
    </row>
    <row r="339" spans="1:31" ht="15.75" customHeight="1" x14ac:dyDescent="0.3">
      <c r="A339" s="216" t="s">
        <v>176</v>
      </c>
      <c r="B339" s="13" t="s">
        <v>98</v>
      </c>
      <c r="C339" s="14"/>
      <c r="D339" s="34">
        <v>0.45400000000000001</v>
      </c>
      <c r="E339" s="14">
        <v>2.423</v>
      </c>
      <c r="F339" s="14">
        <v>3.3260000000000001</v>
      </c>
      <c r="G339" s="14">
        <v>4.05</v>
      </c>
      <c r="H339" s="14">
        <v>3.673</v>
      </c>
      <c r="I339" s="14">
        <v>2.5649999999999999</v>
      </c>
      <c r="J339" s="35">
        <v>1.2150000000000001</v>
      </c>
      <c r="K339" s="14"/>
      <c r="L339" s="14"/>
      <c r="M339" s="14"/>
      <c r="N339" s="15" t="s">
        <v>109</v>
      </c>
      <c r="O339" s="16">
        <f t="shared" ref="O339" si="331">COUNTIF(A339:L339, "&gt;0" )</f>
        <v>7</v>
      </c>
      <c r="Q339" s="216" t="s">
        <v>176</v>
      </c>
      <c r="R339" s="216" t="s">
        <v>2</v>
      </c>
      <c r="S339" s="36" t="s">
        <v>98</v>
      </c>
      <c r="T339" s="18"/>
      <c r="U339" s="18">
        <f t="shared" ref="U339:AB339" si="332">D339*D346</f>
        <v>0.23608000000000001</v>
      </c>
      <c r="V339" s="18">
        <f t="shared" si="332"/>
        <v>1.1630400000000001</v>
      </c>
      <c r="W339" s="18">
        <f t="shared" si="332"/>
        <v>1.663</v>
      </c>
      <c r="X339" s="18">
        <f t="shared" si="332"/>
        <v>2.3489999999999998</v>
      </c>
      <c r="Y339" s="18">
        <f t="shared" si="332"/>
        <v>1.5426599999999999</v>
      </c>
      <c r="Z339" s="18">
        <f t="shared" si="332"/>
        <v>1.3338000000000001</v>
      </c>
      <c r="AA339" s="18">
        <f t="shared" si="332"/>
        <v>0.58320000000000005</v>
      </c>
      <c r="AB339" s="18">
        <f t="shared" si="332"/>
        <v>0</v>
      </c>
      <c r="AC339" s="18"/>
      <c r="AD339" s="33">
        <f>SUM(T339:AC339)</f>
        <v>8.8707799999999999</v>
      </c>
      <c r="AE339" s="25"/>
    </row>
    <row r="340" spans="1:31" ht="15.75" customHeight="1" x14ac:dyDescent="0.3">
      <c r="A340" s="217"/>
      <c r="B340" s="2" t="s">
        <v>110</v>
      </c>
      <c r="C340" s="15"/>
      <c r="D340" s="37" t="s">
        <v>111</v>
      </c>
      <c r="E340" s="15" t="s">
        <v>111</v>
      </c>
      <c r="F340" s="15" t="s">
        <v>111</v>
      </c>
      <c r="G340" s="15" t="s">
        <v>112</v>
      </c>
      <c r="H340" s="15" t="s">
        <v>112</v>
      </c>
      <c r="I340" s="15" t="s">
        <v>112</v>
      </c>
      <c r="J340" s="38" t="s">
        <v>112</v>
      </c>
      <c r="K340" s="15"/>
      <c r="L340" s="15"/>
      <c r="M340" s="15"/>
      <c r="N340" s="15" t="s">
        <v>105</v>
      </c>
      <c r="O340" s="15">
        <f t="shared" ref="O340" si="333">COUNTIF(A340:L340,"Cortex")</f>
        <v>3</v>
      </c>
      <c r="Q340" s="217"/>
      <c r="R340" s="217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21"/>
    </row>
    <row r="341" spans="1:31" ht="15.75" customHeight="1" x14ac:dyDescent="0.3">
      <c r="A341" s="217"/>
      <c r="B341" s="2" t="s">
        <v>99</v>
      </c>
      <c r="C341" s="15"/>
      <c r="D341" s="37">
        <v>17.695</v>
      </c>
      <c r="E341" s="15">
        <v>21.757000000000001</v>
      </c>
      <c r="F341" s="15">
        <v>21.99</v>
      </c>
      <c r="G341" s="15">
        <v>25.414000000000001</v>
      </c>
      <c r="H341" s="15">
        <v>26.378</v>
      </c>
      <c r="I341" s="15">
        <v>26.906000000000002</v>
      </c>
      <c r="J341" s="38">
        <v>28.192</v>
      </c>
      <c r="K341" s="15"/>
      <c r="L341" s="15"/>
      <c r="M341" s="15"/>
      <c r="N341" s="15" t="s">
        <v>106</v>
      </c>
      <c r="O341" s="15">
        <f t="shared" ref="O341" si="334">O339-O340</f>
        <v>4</v>
      </c>
      <c r="Q341" s="217"/>
      <c r="R341" s="217"/>
      <c r="S341" s="2" t="s">
        <v>99</v>
      </c>
      <c r="T341" s="15"/>
      <c r="U341" s="15">
        <f t="shared" ref="U341:AB341" si="335">D341*D346</f>
        <v>9.2013999999999996</v>
      </c>
      <c r="V341" s="15">
        <f t="shared" si="335"/>
        <v>10.44336</v>
      </c>
      <c r="W341" s="15">
        <f t="shared" si="335"/>
        <v>10.994999999999999</v>
      </c>
      <c r="X341" s="15">
        <f t="shared" si="335"/>
        <v>14.740119999999999</v>
      </c>
      <c r="Y341" s="15">
        <f t="shared" si="335"/>
        <v>11.078759999999999</v>
      </c>
      <c r="Z341" s="15">
        <f t="shared" si="335"/>
        <v>13.991120000000002</v>
      </c>
      <c r="AA341" s="15">
        <f t="shared" si="335"/>
        <v>13.532159999999999</v>
      </c>
      <c r="AB341" s="15">
        <f t="shared" si="335"/>
        <v>0</v>
      </c>
      <c r="AC341" s="15"/>
      <c r="AD341" s="21">
        <f>SUM(T341:AC341)</f>
        <v>83.981920000000002</v>
      </c>
    </row>
    <row r="342" spans="1:31" ht="15.75" customHeight="1" x14ac:dyDescent="0.3">
      <c r="A342" s="217"/>
      <c r="B342" s="2" t="s">
        <v>100</v>
      </c>
      <c r="C342" s="15"/>
      <c r="D342" s="37">
        <v>17.555</v>
      </c>
      <c r="E342" s="15">
        <v>20.814</v>
      </c>
      <c r="F342" s="15">
        <v>23.934999999999999</v>
      </c>
      <c r="G342" s="15">
        <v>25.318000000000001</v>
      </c>
      <c r="H342" s="15">
        <v>26.062000000000001</v>
      </c>
      <c r="I342" s="15">
        <v>27.465</v>
      </c>
      <c r="J342" s="38">
        <v>27.835000000000001</v>
      </c>
      <c r="K342" s="15"/>
      <c r="L342" s="15"/>
      <c r="M342" s="15"/>
      <c r="N342" s="15" t="s">
        <v>113</v>
      </c>
      <c r="O342" s="16">
        <f t="shared" ref="O342" si="336">COUNTIF(A339:M339, "&gt;=0" )</f>
        <v>7</v>
      </c>
      <c r="Q342" s="217"/>
      <c r="R342" s="217"/>
      <c r="S342" s="2" t="s">
        <v>100</v>
      </c>
      <c r="T342" s="15"/>
      <c r="U342" s="15">
        <f t="shared" ref="U342:AB342" si="337">D342*D346</f>
        <v>9.1286000000000005</v>
      </c>
      <c r="V342" s="15">
        <f t="shared" si="337"/>
        <v>9.9907199999999996</v>
      </c>
      <c r="W342" s="15">
        <f t="shared" si="337"/>
        <v>11.967499999999999</v>
      </c>
      <c r="X342" s="15">
        <f t="shared" si="337"/>
        <v>14.68444</v>
      </c>
      <c r="Y342" s="15">
        <f t="shared" si="337"/>
        <v>10.94604</v>
      </c>
      <c r="Z342" s="15">
        <f t="shared" si="337"/>
        <v>14.2818</v>
      </c>
      <c r="AA342" s="15">
        <f t="shared" si="337"/>
        <v>13.360799999999999</v>
      </c>
      <c r="AB342" s="15">
        <f t="shared" si="337"/>
        <v>0</v>
      </c>
      <c r="AC342" s="15"/>
      <c r="AD342" s="21">
        <f>SUM(T342:AC342)</f>
        <v>84.35990000000001</v>
      </c>
    </row>
    <row r="343" spans="1:31" x14ac:dyDescent="0.3">
      <c r="A343" s="22"/>
      <c r="B343" s="2" t="s">
        <v>114</v>
      </c>
      <c r="C343" s="15"/>
      <c r="D343" s="37">
        <v>17.100999999999999</v>
      </c>
      <c r="E343" s="15">
        <v>18.390999999999998</v>
      </c>
      <c r="F343" s="15">
        <v>20.608999999999998</v>
      </c>
      <c r="G343" s="15">
        <v>21.268000000000001</v>
      </c>
      <c r="H343" s="15">
        <v>22.389000000000003</v>
      </c>
      <c r="I343" s="15">
        <v>24.9</v>
      </c>
      <c r="J343" s="38">
        <v>26.62</v>
      </c>
      <c r="K343" s="15"/>
      <c r="L343" s="15"/>
      <c r="M343" s="15"/>
      <c r="N343" s="15"/>
      <c r="O343" s="15"/>
      <c r="Q343" s="22"/>
      <c r="R343" s="22"/>
      <c r="S343" s="2" t="s">
        <v>114</v>
      </c>
      <c r="T343" s="15"/>
      <c r="U343" s="15">
        <f t="shared" ref="U343:AB343" si="338">D343*D346</f>
        <v>8.8925199999999993</v>
      </c>
      <c r="V343" s="15">
        <f t="shared" si="338"/>
        <v>8.8276799999999991</v>
      </c>
      <c r="W343" s="15">
        <f t="shared" si="338"/>
        <v>10.304499999999999</v>
      </c>
      <c r="X343" s="15">
        <f t="shared" si="338"/>
        <v>12.33544</v>
      </c>
      <c r="Y343" s="15">
        <f t="shared" si="338"/>
        <v>9.4033800000000003</v>
      </c>
      <c r="Z343" s="15">
        <f t="shared" si="338"/>
        <v>12.948</v>
      </c>
      <c r="AA343" s="15">
        <f t="shared" si="338"/>
        <v>12.7776</v>
      </c>
      <c r="AB343" s="15">
        <f t="shared" si="338"/>
        <v>0</v>
      </c>
      <c r="AC343" s="15"/>
      <c r="AD343" s="21">
        <f>SUM(T343:AC343)</f>
        <v>75.489119999999986</v>
      </c>
    </row>
    <row r="344" spans="1:31" x14ac:dyDescent="0.3">
      <c r="A344" s="22"/>
      <c r="C344" s="15"/>
      <c r="D344" s="37"/>
      <c r="E344" s="15"/>
      <c r="F344" s="15"/>
      <c r="G344" s="15"/>
      <c r="H344" s="15"/>
      <c r="I344" s="15"/>
      <c r="J344" s="38"/>
      <c r="K344" s="15"/>
      <c r="L344" s="15"/>
      <c r="M344" s="15"/>
      <c r="N344" s="15"/>
      <c r="O344" s="15"/>
      <c r="Q344" s="22"/>
      <c r="R344" s="22"/>
      <c r="S344" s="1" t="s">
        <v>115</v>
      </c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33">
        <f>(AD341-AD342)/AD341*100</f>
        <v>-0.4500730633450723</v>
      </c>
      <c r="AE344" s="25"/>
    </row>
    <row r="345" spans="1:31" x14ac:dyDescent="0.3">
      <c r="A345" s="22"/>
      <c r="C345" s="15"/>
      <c r="D345" s="37"/>
      <c r="E345" s="15"/>
      <c r="F345" s="15"/>
      <c r="G345" s="15"/>
      <c r="H345" s="15"/>
      <c r="I345" s="15"/>
      <c r="J345" s="38"/>
      <c r="K345" s="15"/>
      <c r="L345" s="15"/>
      <c r="M345" s="15"/>
      <c r="N345" s="15"/>
      <c r="O345" s="15"/>
      <c r="Q345" s="22"/>
      <c r="R345" s="22"/>
      <c r="S345" s="1" t="s">
        <v>103</v>
      </c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33">
        <f>AD341-AD343</f>
        <v>8.4928000000000168</v>
      </c>
      <c r="AE345" s="25"/>
    </row>
    <row r="346" spans="1:31" ht="16.2" thickBot="1" x14ac:dyDescent="0.35">
      <c r="A346" s="22"/>
      <c r="B346" s="2" t="s">
        <v>32</v>
      </c>
      <c r="C346" s="15"/>
      <c r="D346" s="40">
        <v>0.52</v>
      </c>
      <c r="E346" s="15">
        <v>0.48</v>
      </c>
      <c r="F346" s="15">
        <v>0.5</v>
      </c>
      <c r="G346" s="15">
        <v>0.57999999999999996</v>
      </c>
      <c r="H346" s="15">
        <v>0.42</v>
      </c>
      <c r="I346" s="15">
        <v>0.52</v>
      </c>
      <c r="J346" s="41">
        <v>0.48</v>
      </c>
      <c r="K346" s="15"/>
      <c r="L346" s="15"/>
      <c r="M346" s="15"/>
      <c r="N346" s="15"/>
      <c r="O346" s="15"/>
      <c r="P346" s="16"/>
      <c r="Q346" s="22"/>
      <c r="R346" s="22"/>
      <c r="S346" s="2" t="s">
        <v>97</v>
      </c>
      <c r="T346" s="219"/>
      <c r="U346" s="219"/>
      <c r="V346" s="219"/>
      <c r="W346" s="219"/>
      <c r="X346" s="219"/>
      <c r="Y346" s="219"/>
      <c r="Z346" s="219"/>
      <c r="AA346" s="219"/>
      <c r="AB346" s="219"/>
      <c r="AC346" s="219"/>
      <c r="AD346" s="39"/>
    </row>
    <row r="347" spans="1:31" ht="15.75" customHeight="1" x14ac:dyDescent="0.3">
      <c r="A347" s="216" t="s">
        <v>177</v>
      </c>
      <c r="B347" s="13" t="s">
        <v>98</v>
      </c>
      <c r="C347" s="14"/>
      <c r="D347" s="14"/>
      <c r="E347" s="34">
        <v>1.1879999999999999</v>
      </c>
      <c r="F347" s="14">
        <v>2.0299999999999998</v>
      </c>
      <c r="G347" s="14">
        <v>2.8460000000000001</v>
      </c>
      <c r="H347" s="14">
        <v>3.29</v>
      </c>
      <c r="I347" s="14">
        <v>3.2589999999999999</v>
      </c>
      <c r="J347" s="14">
        <v>4.335</v>
      </c>
      <c r="K347" s="35">
        <v>3.4590000000000001</v>
      </c>
      <c r="L347" s="14"/>
      <c r="M347" s="14"/>
      <c r="N347" s="15" t="s">
        <v>109</v>
      </c>
      <c r="O347" s="16">
        <f t="shared" ref="O347" si="339">COUNTIF(A347:L347, "&gt;0" )</f>
        <v>7</v>
      </c>
      <c r="Q347" s="216" t="s">
        <v>177</v>
      </c>
      <c r="R347" s="216" t="s">
        <v>2</v>
      </c>
      <c r="S347" s="36" t="s">
        <v>98</v>
      </c>
      <c r="T347" s="18"/>
      <c r="U347" s="18"/>
      <c r="V347" s="18">
        <f t="shared" ref="V347:AB347" si="340">E347*E354</f>
        <v>0.71279999999999999</v>
      </c>
      <c r="W347" s="18">
        <f t="shared" si="340"/>
        <v>0.93379999999999996</v>
      </c>
      <c r="X347" s="18">
        <f t="shared" si="340"/>
        <v>1.25224</v>
      </c>
      <c r="Y347" s="18">
        <f t="shared" si="340"/>
        <v>2.6978000000000004</v>
      </c>
      <c r="Z347" s="18">
        <f t="shared" si="340"/>
        <v>0.71697999999999984</v>
      </c>
      <c r="AA347" s="18">
        <f t="shared" si="340"/>
        <v>1.9941</v>
      </c>
      <c r="AB347" s="18">
        <f t="shared" si="340"/>
        <v>1.8678600000000001</v>
      </c>
      <c r="AC347" s="18"/>
      <c r="AD347" s="33">
        <f>SUM(T347:AC347)</f>
        <v>10.17558</v>
      </c>
      <c r="AE347" s="25"/>
    </row>
    <row r="348" spans="1:31" ht="15.75" customHeight="1" x14ac:dyDescent="0.3">
      <c r="A348" s="217"/>
      <c r="B348" s="2" t="s">
        <v>110</v>
      </c>
      <c r="C348" s="15"/>
      <c r="D348" s="15"/>
      <c r="E348" s="37" t="s">
        <v>111</v>
      </c>
      <c r="F348" s="15" t="s">
        <v>111</v>
      </c>
      <c r="G348" s="15" t="s">
        <v>111</v>
      </c>
      <c r="H348" s="15" t="s">
        <v>112</v>
      </c>
      <c r="I348" s="15" t="s">
        <v>112</v>
      </c>
      <c r="J348" s="15" t="s">
        <v>112</v>
      </c>
      <c r="K348" s="38" t="s">
        <v>112</v>
      </c>
      <c r="L348" s="15"/>
      <c r="M348" s="15"/>
      <c r="N348" s="15" t="s">
        <v>105</v>
      </c>
      <c r="O348" s="15">
        <f t="shared" ref="O348" si="341">COUNTIF(A348:L348,"Cortex")</f>
        <v>3</v>
      </c>
      <c r="Q348" s="217"/>
      <c r="R348" s="217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21"/>
    </row>
    <row r="349" spans="1:31" ht="15.75" customHeight="1" x14ac:dyDescent="0.3">
      <c r="A349" s="217"/>
      <c r="B349" s="2" t="s">
        <v>99</v>
      </c>
      <c r="C349" s="15"/>
      <c r="D349" s="15"/>
      <c r="E349" s="37">
        <v>17.594999999999999</v>
      </c>
      <c r="F349" s="15">
        <v>19.305</v>
      </c>
      <c r="G349" s="15">
        <v>22.324999999999999</v>
      </c>
      <c r="H349" s="15">
        <v>22.733000000000001</v>
      </c>
      <c r="I349" s="15">
        <v>28.859000000000002</v>
      </c>
      <c r="J349" s="15">
        <v>29.291</v>
      </c>
      <c r="K349" s="38">
        <v>29.204000000000001</v>
      </c>
      <c r="L349" s="15"/>
      <c r="M349" s="15"/>
      <c r="N349" s="15" t="s">
        <v>106</v>
      </c>
      <c r="O349" s="15">
        <f t="shared" ref="O349" si="342">O347-O348</f>
        <v>4</v>
      </c>
      <c r="Q349" s="217"/>
      <c r="R349" s="217"/>
      <c r="S349" s="2" t="s">
        <v>99</v>
      </c>
      <c r="T349" s="15"/>
      <c r="U349" s="15"/>
      <c r="V349" s="15">
        <f t="shared" ref="V349:AB349" si="343">E349*E354</f>
        <v>10.556999999999999</v>
      </c>
      <c r="W349" s="15">
        <f t="shared" si="343"/>
        <v>8.8803000000000001</v>
      </c>
      <c r="X349" s="15">
        <f t="shared" si="343"/>
        <v>9.8230000000000004</v>
      </c>
      <c r="Y349" s="15">
        <f t="shared" si="343"/>
        <v>18.641060000000003</v>
      </c>
      <c r="Z349" s="15">
        <f t="shared" si="343"/>
        <v>6.3489799999999992</v>
      </c>
      <c r="AA349" s="15">
        <f t="shared" si="343"/>
        <v>13.47386</v>
      </c>
      <c r="AB349" s="15">
        <f t="shared" si="343"/>
        <v>15.770160000000001</v>
      </c>
      <c r="AC349" s="15"/>
      <c r="AD349" s="21">
        <f>SUM(T349:AC349)</f>
        <v>83.49436</v>
      </c>
    </row>
    <row r="350" spans="1:31" ht="15.75" customHeight="1" x14ac:dyDescent="0.3">
      <c r="A350" s="217"/>
      <c r="B350" s="2" t="s">
        <v>100</v>
      </c>
      <c r="C350" s="15"/>
      <c r="D350" s="15"/>
      <c r="E350" s="37">
        <v>18.082999999999998</v>
      </c>
      <c r="F350" s="15">
        <v>20.622</v>
      </c>
      <c r="G350" s="15">
        <v>22.231999999999999</v>
      </c>
      <c r="H350" s="15">
        <v>21.95</v>
      </c>
      <c r="I350" s="15">
        <v>27.75</v>
      </c>
      <c r="J350" s="15">
        <v>27.981000000000002</v>
      </c>
      <c r="K350" s="38">
        <v>27.625</v>
      </c>
      <c r="L350" s="15"/>
      <c r="M350" s="15"/>
      <c r="N350" s="15" t="s">
        <v>113</v>
      </c>
      <c r="O350" s="16">
        <f t="shared" ref="O350" si="344">COUNTIF(A347:M347, "&gt;=0" )</f>
        <v>7</v>
      </c>
      <c r="Q350" s="217"/>
      <c r="R350" s="217"/>
      <c r="S350" s="2" t="s">
        <v>100</v>
      </c>
      <c r="T350" s="15"/>
      <c r="U350" s="15"/>
      <c r="V350" s="15">
        <f t="shared" ref="V350:AB350" si="345">E350*E354</f>
        <v>10.849799999999998</v>
      </c>
      <c r="W350" s="15">
        <f t="shared" si="345"/>
        <v>9.4861199999999997</v>
      </c>
      <c r="X350" s="15">
        <f t="shared" si="345"/>
        <v>9.7820800000000006</v>
      </c>
      <c r="Y350" s="15">
        <f t="shared" si="345"/>
        <v>17.999000000000002</v>
      </c>
      <c r="Z350" s="15">
        <f t="shared" si="345"/>
        <v>6.1049999999999995</v>
      </c>
      <c r="AA350" s="15">
        <f t="shared" si="345"/>
        <v>12.871260000000001</v>
      </c>
      <c r="AB350" s="15">
        <f t="shared" si="345"/>
        <v>14.9175</v>
      </c>
      <c r="AC350" s="15"/>
      <c r="AD350" s="21">
        <f>SUM(T350:AC350)</f>
        <v>82.010760000000005</v>
      </c>
    </row>
    <row r="351" spans="1:31" x14ac:dyDescent="0.3">
      <c r="A351" s="22"/>
      <c r="B351" s="2" t="s">
        <v>114</v>
      </c>
      <c r="C351" s="15"/>
      <c r="D351" s="15"/>
      <c r="E351" s="37">
        <v>16.895</v>
      </c>
      <c r="F351" s="15">
        <v>18.591999999999999</v>
      </c>
      <c r="G351" s="15">
        <v>19.385999999999999</v>
      </c>
      <c r="H351" s="15">
        <v>18.66</v>
      </c>
      <c r="I351" s="15">
        <v>24.491</v>
      </c>
      <c r="J351" s="15">
        <v>23.646000000000001</v>
      </c>
      <c r="K351" s="38">
        <v>24.166</v>
      </c>
      <c r="L351" s="15"/>
      <c r="M351" s="15"/>
      <c r="N351" s="15"/>
      <c r="O351" s="15"/>
      <c r="Q351" s="22"/>
      <c r="R351" s="22"/>
      <c r="S351" s="2" t="s">
        <v>114</v>
      </c>
      <c r="T351" s="15"/>
      <c r="U351" s="15"/>
      <c r="V351" s="15">
        <f t="shared" ref="V351:AB351" si="346">E351*E354</f>
        <v>10.136999999999999</v>
      </c>
      <c r="W351" s="15">
        <f t="shared" si="346"/>
        <v>8.5523199999999999</v>
      </c>
      <c r="X351" s="15">
        <f t="shared" si="346"/>
        <v>8.5298400000000001</v>
      </c>
      <c r="Y351" s="15">
        <f t="shared" si="346"/>
        <v>15.301200000000001</v>
      </c>
      <c r="Z351" s="15">
        <f t="shared" si="346"/>
        <v>5.3880199999999991</v>
      </c>
      <c r="AA351" s="15">
        <f t="shared" si="346"/>
        <v>10.877160000000002</v>
      </c>
      <c r="AB351" s="15">
        <f t="shared" si="346"/>
        <v>13.049640000000002</v>
      </c>
      <c r="AC351" s="15"/>
      <c r="AD351" s="21">
        <f>SUM(T351:AC351)</f>
        <v>71.835179999999994</v>
      </c>
    </row>
    <row r="352" spans="1:31" x14ac:dyDescent="0.3">
      <c r="A352" s="22"/>
      <c r="C352" s="15"/>
      <c r="D352" s="15"/>
      <c r="E352" s="37"/>
      <c r="F352" s="15"/>
      <c r="G352" s="15"/>
      <c r="H352" s="15"/>
      <c r="I352" s="15"/>
      <c r="J352" s="15"/>
      <c r="K352" s="38"/>
      <c r="L352" s="15"/>
      <c r="M352" s="15"/>
      <c r="N352" s="15"/>
      <c r="O352" s="15"/>
      <c r="Q352" s="22"/>
      <c r="R352" s="22"/>
      <c r="S352" s="1" t="s">
        <v>115</v>
      </c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33">
        <f>(AD349-AD350)/AD349*100</f>
        <v>1.7768864867040066</v>
      </c>
      <c r="AE352" s="25"/>
    </row>
    <row r="353" spans="1:31" x14ac:dyDescent="0.3">
      <c r="A353" s="22"/>
      <c r="C353" s="15"/>
      <c r="D353" s="15"/>
      <c r="E353" s="37"/>
      <c r="F353" s="15"/>
      <c r="G353" s="15"/>
      <c r="H353" s="15"/>
      <c r="I353" s="15"/>
      <c r="J353" s="15"/>
      <c r="K353" s="38"/>
      <c r="L353" s="15"/>
      <c r="M353" s="15"/>
      <c r="N353" s="15"/>
      <c r="O353" s="15"/>
      <c r="Q353" s="22"/>
      <c r="R353" s="22"/>
      <c r="S353" s="1" t="s">
        <v>103</v>
      </c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33">
        <f>AD349-AD351</f>
        <v>11.659180000000006</v>
      </c>
      <c r="AE353" s="25"/>
    </row>
    <row r="354" spans="1:31" ht="16.2" thickBot="1" x14ac:dyDescent="0.35">
      <c r="A354" s="22"/>
      <c r="B354" s="2" t="s">
        <v>32</v>
      </c>
      <c r="C354" s="15"/>
      <c r="D354" s="15"/>
      <c r="E354" s="37">
        <v>0.6</v>
      </c>
      <c r="F354" s="15">
        <v>0.46</v>
      </c>
      <c r="G354" s="15">
        <v>0.44</v>
      </c>
      <c r="H354" s="15">
        <v>0.82000000000000006</v>
      </c>
      <c r="I354" s="15">
        <v>0.21999999999999997</v>
      </c>
      <c r="J354" s="15">
        <v>0.46</v>
      </c>
      <c r="K354" s="38">
        <v>0.54</v>
      </c>
      <c r="L354" s="15"/>
      <c r="M354" s="15"/>
      <c r="N354" s="15"/>
      <c r="O354" s="15"/>
      <c r="P354" s="16"/>
      <c r="Q354" s="22"/>
      <c r="R354" s="22"/>
      <c r="S354" s="2" t="s">
        <v>97</v>
      </c>
      <c r="T354" s="219"/>
      <c r="U354" s="219"/>
      <c r="V354" s="219"/>
      <c r="W354" s="219"/>
      <c r="X354" s="219"/>
      <c r="Y354" s="219"/>
      <c r="Z354" s="219"/>
      <c r="AA354" s="219"/>
      <c r="AB354" s="219"/>
      <c r="AC354" s="219"/>
      <c r="AD354" s="39"/>
    </row>
    <row r="355" spans="1:31" ht="15.75" customHeight="1" x14ac:dyDescent="0.3">
      <c r="A355" s="216" t="s">
        <v>178</v>
      </c>
      <c r="B355" s="13" t="s">
        <v>98</v>
      </c>
      <c r="C355" s="14"/>
      <c r="D355" s="14"/>
      <c r="E355" s="34">
        <v>3.2250000000000001</v>
      </c>
      <c r="F355" s="14">
        <v>3.4089999999999998</v>
      </c>
      <c r="G355" s="14">
        <v>3.4079999999999999</v>
      </c>
      <c r="H355" s="14">
        <v>3.8639999999999999</v>
      </c>
      <c r="I355" s="14">
        <v>3.0760000000000001</v>
      </c>
      <c r="J355" s="14">
        <v>3.5049999999999999</v>
      </c>
      <c r="K355" s="35">
        <v>3.3420000000000001</v>
      </c>
      <c r="L355" s="14"/>
      <c r="M355" s="14"/>
      <c r="N355" s="15" t="s">
        <v>109</v>
      </c>
      <c r="O355" s="16">
        <f t="shared" ref="O355" si="347">COUNTIF(A355:L355, "&gt;0" )</f>
        <v>7</v>
      </c>
      <c r="Q355" s="216" t="s">
        <v>178</v>
      </c>
      <c r="R355" s="216" t="s">
        <v>2</v>
      </c>
      <c r="S355" s="36" t="s">
        <v>98</v>
      </c>
      <c r="T355" s="18"/>
      <c r="U355" s="18"/>
      <c r="V355" s="18">
        <f t="shared" ref="V355:AB355" si="348">E355*E362</f>
        <v>1.6125</v>
      </c>
      <c r="W355" s="18">
        <f t="shared" si="348"/>
        <v>1.7044999999999999</v>
      </c>
      <c r="X355" s="18">
        <f t="shared" si="348"/>
        <v>1.9084800000000002</v>
      </c>
      <c r="Y355" s="18">
        <f t="shared" si="348"/>
        <v>1.7774400000000001</v>
      </c>
      <c r="Z355" s="18">
        <f t="shared" si="348"/>
        <v>1.47648</v>
      </c>
      <c r="AA355" s="18">
        <f t="shared" si="348"/>
        <v>1.7524999999999999</v>
      </c>
      <c r="AB355" s="18">
        <f t="shared" si="348"/>
        <v>1.671</v>
      </c>
      <c r="AC355" s="18"/>
      <c r="AD355" s="33">
        <f>SUM(T355:AC355)</f>
        <v>11.902899999999999</v>
      </c>
      <c r="AE355" s="25"/>
    </row>
    <row r="356" spans="1:31" ht="15.75" customHeight="1" x14ac:dyDescent="0.3">
      <c r="A356" s="217"/>
      <c r="B356" s="2" t="s">
        <v>110</v>
      </c>
      <c r="C356" s="15"/>
      <c r="D356" s="15"/>
      <c r="E356" s="37" t="s">
        <v>111</v>
      </c>
      <c r="F356" s="15" t="s">
        <v>111</v>
      </c>
      <c r="G356" s="15" t="s">
        <v>111</v>
      </c>
      <c r="H356" s="15" t="s">
        <v>112</v>
      </c>
      <c r="I356" s="15" t="s">
        <v>112</v>
      </c>
      <c r="J356" s="15" t="s">
        <v>112</v>
      </c>
      <c r="K356" s="38" t="s">
        <v>112</v>
      </c>
      <c r="L356" s="15"/>
      <c r="M356" s="15"/>
      <c r="N356" s="15" t="s">
        <v>105</v>
      </c>
      <c r="O356" s="15">
        <f t="shared" ref="O356" si="349">COUNTIF(A356:L356,"Cortex")</f>
        <v>3</v>
      </c>
      <c r="Q356" s="217"/>
      <c r="R356" s="217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21"/>
    </row>
    <row r="357" spans="1:31" ht="15.75" customHeight="1" x14ac:dyDescent="0.3">
      <c r="A357" s="217"/>
      <c r="B357" s="2" t="s">
        <v>99</v>
      </c>
      <c r="C357" s="15"/>
      <c r="D357" s="15"/>
      <c r="E357" s="37">
        <v>16.681999999999999</v>
      </c>
      <c r="F357" s="15">
        <v>19.125</v>
      </c>
      <c r="G357" s="15">
        <v>21.937000000000001</v>
      </c>
      <c r="H357" s="15">
        <v>23.271999999999998</v>
      </c>
      <c r="I357" s="15">
        <v>24.436</v>
      </c>
      <c r="J357" s="15">
        <v>23.724</v>
      </c>
      <c r="K357" s="38">
        <v>25.983000000000001</v>
      </c>
      <c r="L357" s="15"/>
      <c r="M357" s="15"/>
      <c r="N357" s="15" t="s">
        <v>106</v>
      </c>
      <c r="O357" s="15">
        <f t="shared" ref="O357" si="350">O355-O356</f>
        <v>4</v>
      </c>
      <c r="Q357" s="217"/>
      <c r="R357" s="217"/>
      <c r="S357" s="2" t="s">
        <v>99</v>
      </c>
      <c r="T357" s="15"/>
      <c r="U357" s="15"/>
      <c r="V357" s="15">
        <f t="shared" ref="V357:AB357" si="351">E357*E362</f>
        <v>8.3409999999999993</v>
      </c>
      <c r="W357" s="15">
        <f t="shared" si="351"/>
        <v>9.5625</v>
      </c>
      <c r="X357" s="15">
        <f t="shared" si="351"/>
        <v>12.284720000000002</v>
      </c>
      <c r="Y357" s="15">
        <f t="shared" si="351"/>
        <v>10.705119999999999</v>
      </c>
      <c r="Z357" s="15">
        <f t="shared" si="351"/>
        <v>11.729279999999999</v>
      </c>
      <c r="AA357" s="15">
        <f t="shared" si="351"/>
        <v>11.862</v>
      </c>
      <c r="AB357" s="15">
        <f t="shared" si="351"/>
        <v>12.9915</v>
      </c>
      <c r="AC357" s="15"/>
      <c r="AD357" s="21">
        <f>SUM(T357:AC357)</f>
        <v>77.476119999999995</v>
      </c>
    </row>
    <row r="358" spans="1:31" ht="15.75" customHeight="1" x14ac:dyDescent="0.3">
      <c r="A358" s="217"/>
      <c r="B358" s="2" t="s">
        <v>100</v>
      </c>
      <c r="C358" s="15"/>
      <c r="D358" s="15"/>
      <c r="E358" s="37">
        <v>16.253</v>
      </c>
      <c r="F358" s="15">
        <v>18.795000000000002</v>
      </c>
      <c r="G358" s="15">
        <v>19.736999999999998</v>
      </c>
      <c r="H358" s="15">
        <v>21.588000000000001</v>
      </c>
      <c r="I358" s="15">
        <v>22.282999999999998</v>
      </c>
      <c r="J358" s="15">
        <v>25.733000000000001</v>
      </c>
      <c r="K358" s="38">
        <v>24.827999999999999</v>
      </c>
      <c r="L358" s="15"/>
      <c r="M358" s="15"/>
      <c r="N358" s="15" t="s">
        <v>113</v>
      </c>
      <c r="O358" s="16">
        <f t="shared" ref="O358" si="352">COUNTIF(A355:M355, "&gt;=0" )</f>
        <v>7</v>
      </c>
      <c r="Q358" s="217"/>
      <c r="R358" s="217"/>
      <c r="S358" s="2" t="s">
        <v>100</v>
      </c>
      <c r="T358" s="15"/>
      <c r="U358" s="15"/>
      <c r="V358" s="15">
        <f t="shared" ref="V358:AB358" si="353">E358*E362</f>
        <v>8.1265000000000001</v>
      </c>
      <c r="W358" s="15">
        <f t="shared" si="353"/>
        <v>9.3975000000000009</v>
      </c>
      <c r="X358" s="15">
        <f t="shared" si="353"/>
        <v>11.052720000000001</v>
      </c>
      <c r="Y358" s="15">
        <f t="shared" si="353"/>
        <v>9.9304800000000011</v>
      </c>
      <c r="Z358" s="15">
        <f t="shared" si="353"/>
        <v>10.695839999999999</v>
      </c>
      <c r="AA358" s="15">
        <f t="shared" si="353"/>
        <v>12.8665</v>
      </c>
      <c r="AB358" s="15">
        <f t="shared" si="353"/>
        <v>12.414</v>
      </c>
      <c r="AC358" s="15"/>
      <c r="AD358" s="21">
        <f>SUM(T358:AC358)</f>
        <v>74.483540000000005</v>
      </c>
    </row>
    <row r="359" spans="1:31" x14ac:dyDescent="0.3">
      <c r="A359" s="22"/>
      <c r="B359" s="2" t="s">
        <v>114</v>
      </c>
      <c r="C359" s="15"/>
      <c r="D359" s="15"/>
      <c r="E359" s="37">
        <v>13.028</v>
      </c>
      <c r="F359" s="15">
        <v>15.386000000000003</v>
      </c>
      <c r="G359" s="15">
        <v>16.328999999999997</v>
      </c>
      <c r="H359" s="15">
        <v>17.724</v>
      </c>
      <c r="I359" s="15">
        <v>19.206999999999997</v>
      </c>
      <c r="J359" s="15">
        <v>22.228000000000002</v>
      </c>
      <c r="K359" s="38">
        <v>21.486000000000001</v>
      </c>
      <c r="L359" s="15"/>
      <c r="M359" s="15"/>
      <c r="N359" s="15"/>
      <c r="O359" s="15"/>
      <c r="Q359" s="22"/>
      <c r="R359" s="22"/>
      <c r="S359" s="2" t="s">
        <v>114</v>
      </c>
      <c r="T359" s="15"/>
      <c r="U359" s="15"/>
      <c r="V359" s="15">
        <f t="shared" ref="V359:AB359" si="354">E359*E362</f>
        <v>6.5140000000000002</v>
      </c>
      <c r="W359" s="15">
        <f t="shared" si="354"/>
        <v>7.6930000000000014</v>
      </c>
      <c r="X359" s="15">
        <f t="shared" si="354"/>
        <v>9.1442399999999999</v>
      </c>
      <c r="Y359" s="15">
        <f t="shared" si="354"/>
        <v>8.1530400000000007</v>
      </c>
      <c r="Z359" s="15">
        <f t="shared" si="354"/>
        <v>9.2193599999999982</v>
      </c>
      <c r="AA359" s="15">
        <f t="shared" si="354"/>
        <v>11.114000000000001</v>
      </c>
      <c r="AB359" s="15">
        <f t="shared" si="354"/>
        <v>10.743</v>
      </c>
      <c r="AC359" s="15"/>
      <c r="AD359" s="21">
        <f>SUM(T359:AC359)</f>
        <v>62.58064000000001</v>
      </c>
    </row>
    <row r="360" spans="1:31" x14ac:dyDescent="0.3">
      <c r="A360" s="22"/>
      <c r="C360" s="15"/>
      <c r="D360" s="15"/>
      <c r="E360" s="37"/>
      <c r="F360" s="15"/>
      <c r="G360" s="15"/>
      <c r="H360" s="15"/>
      <c r="I360" s="15"/>
      <c r="J360" s="15"/>
      <c r="K360" s="38"/>
      <c r="L360" s="15"/>
      <c r="M360" s="15"/>
      <c r="N360" s="15"/>
      <c r="O360" s="15"/>
      <c r="Q360" s="22"/>
      <c r="R360" s="22"/>
      <c r="S360" s="1" t="s">
        <v>115</v>
      </c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33">
        <f>(AD357-AD358)/AD357*100</f>
        <v>3.8625837225715354</v>
      </c>
      <c r="AE360" s="25"/>
    </row>
    <row r="361" spans="1:31" x14ac:dyDescent="0.3">
      <c r="A361" s="22"/>
      <c r="C361" s="15"/>
      <c r="D361" s="15"/>
      <c r="E361" s="37"/>
      <c r="F361" s="15"/>
      <c r="G361" s="15"/>
      <c r="H361" s="15"/>
      <c r="I361" s="15"/>
      <c r="J361" s="15"/>
      <c r="K361" s="38"/>
      <c r="L361" s="15"/>
      <c r="M361" s="15"/>
      <c r="N361" s="15"/>
      <c r="O361" s="15"/>
      <c r="Q361" s="22"/>
      <c r="R361" s="22"/>
      <c r="S361" s="1" t="s">
        <v>103</v>
      </c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33">
        <f>AD357-AD359</f>
        <v>14.895479999999985</v>
      </c>
      <c r="AE361" s="25"/>
    </row>
    <row r="362" spans="1:31" ht="16.2" thickBot="1" x14ac:dyDescent="0.35">
      <c r="A362" s="22"/>
      <c r="B362" s="2" t="s">
        <v>32</v>
      </c>
      <c r="C362" s="15"/>
      <c r="D362" s="15"/>
      <c r="E362" s="37">
        <v>0.5</v>
      </c>
      <c r="F362" s="15">
        <v>0.5</v>
      </c>
      <c r="G362" s="15">
        <v>0.56000000000000005</v>
      </c>
      <c r="H362" s="15">
        <v>0.46</v>
      </c>
      <c r="I362" s="15">
        <v>0.48</v>
      </c>
      <c r="J362" s="15">
        <v>0.5</v>
      </c>
      <c r="K362" s="38">
        <v>0.5</v>
      </c>
      <c r="L362" s="15"/>
      <c r="M362" s="15"/>
      <c r="N362" s="15"/>
      <c r="O362" s="15"/>
      <c r="P362" s="16"/>
      <c r="Q362" s="22"/>
      <c r="R362" s="22"/>
      <c r="S362" s="2" t="s">
        <v>97</v>
      </c>
      <c r="T362" s="219"/>
      <c r="U362" s="219"/>
      <c r="V362" s="219"/>
      <c r="W362" s="219"/>
      <c r="X362" s="219"/>
      <c r="Y362" s="219"/>
      <c r="Z362" s="219"/>
      <c r="AA362" s="219"/>
      <c r="AB362" s="219"/>
      <c r="AC362" s="219"/>
      <c r="AD362" s="39"/>
    </row>
    <row r="363" spans="1:31" ht="15.75" customHeight="1" x14ac:dyDescent="0.3">
      <c r="A363" s="216" t="s">
        <v>179</v>
      </c>
      <c r="B363" s="13" t="s">
        <v>98</v>
      </c>
      <c r="C363" s="14"/>
      <c r="D363" s="14"/>
      <c r="E363" s="34">
        <v>0</v>
      </c>
      <c r="F363" s="14">
        <v>0.24399999999999999</v>
      </c>
      <c r="G363" s="14">
        <v>1.204</v>
      </c>
      <c r="H363" s="14">
        <v>2.6469999999999998</v>
      </c>
      <c r="I363" s="14">
        <v>3.4369999999999998</v>
      </c>
      <c r="J363" s="14">
        <v>4.1980000000000004</v>
      </c>
      <c r="K363" s="35">
        <v>3.0270000000000001</v>
      </c>
      <c r="L363" s="14"/>
      <c r="M363" s="14"/>
      <c r="N363" s="15" t="s">
        <v>109</v>
      </c>
      <c r="O363" s="16">
        <f t="shared" ref="O363" si="355">COUNTIF(A363:L363, "&gt;0" )</f>
        <v>6</v>
      </c>
      <c r="Q363" s="216" t="s">
        <v>179</v>
      </c>
      <c r="R363" s="216" t="s">
        <v>2</v>
      </c>
      <c r="S363" s="36" t="s">
        <v>98</v>
      </c>
      <c r="T363" s="18"/>
      <c r="U363" s="18"/>
      <c r="V363" s="18">
        <f t="shared" ref="V363:AB363" si="356">E363*E370</f>
        <v>0</v>
      </c>
      <c r="W363" s="18">
        <f t="shared" si="356"/>
        <v>0.122</v>
      </c>
      <c r="X363" s="18">
        <f t="shared" si="356"/>
        <v>0.55384</v>
      </c>
      <c r="Y363" s="18">
        <f t="shared" si="356"/>
        <v>1.5881999999999998</v>
      </c>
      <c r="Z363" s="18">
        <f t="shared" si="356"/>
        <v>1.3748</v>
      </c>
      <c r="AA363" s="18">
        <f t="shared" si="356"/>
        <v>2.1829600000000005</v>
      </c>
      <c r="AB363" s="18">
        <f t="shared" si="356"/>
        <v>1.8162</v>
      </c>
      <c r="AC363" s="18"/>
      <c r="AD363" s="33">
        <f>SUM(T363:AC363)</f>
        <v>7.6379999999999999</v>
      </c>
      <c r="AE363" s="25"/>
    </row>
    <row r="364" spans="1:31" ht="15.75" customHeight="1" x14ac:dyDescent="0.3">
      <c r="A364" s="217"/>
      <c r="B364" s="2" t="s">
        <v>110</v>
      </c>
      <c r="C364" s="15"/>
      <c r="D364" s="15"/>
      <c r="E364" s="37"/>
      <c r="F364" s="15" t="s">
        <v>111</v>
      </c>
      <c r="G364" s="15" t="s">
        <v>111</v>
      </c>
      <c r="H364" s="15" t="s">
        <v>145</v>
      </c>
      <c r="I364" s="15" t="s">
        <v>111</v>
      </c>
      <c r="J364" s="15" t="s">
        <v>111</v>
      </c>
      <c r="K364" s="38" t="s">
        <v>111</v>
      </c>
      <c r="L364" s="15"/>
      <c r="M364" s="15"/>
      <c r="N364" s="15" t="s">
        <v>105</v>
      </c>
      <c r="O364" s="15">
        <f t="shared" ref="O364" si="357">COUNTIF(A364:L364,"Cortex")</f>
        <v>5</v>
      </c>
      <c r="Q364" s="217"/>
      <c r="R364" s="217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21"/>
    </row>
    <row r="365" spans="1:31" ht="15.75" customHeight="1" x14ac:dyDescent="0.3">
      <c r="A365" s="217"/>
      <c r="B365" s="2" t="s">
        <v>99</v>
      </c>
      <c r="C365" s="15"/>
      <c r="D365" s="15"/>
      <c r="E365" s="37">
        <v>19.962</v>
      </c>
      <c r="F365" s="15">
        <v>21.57</v>
      </c>
      <c r="G365" s="15">
        <v>23.193000000000001</v>
      </c>
      <c r="H365" s="15">
        <v>24.521999999999998</v>
      </c>
      <c r="I365" s="15">
        <v>25.335999999999999</v>
      </c>
      <c r="J365" s="15">
        <v>26.338000000000001</v>
      </c>
      <c r="K365" s="38">
        <v>26.18</v>
      </c>
      <c r="L365" s="15"/>
      <c r="M365" s="15"/>
      <c r="N365" s="15" t="s">
        <v>106</v>
      </c>
      <c r="O365" s="15">
        <f t="shared" ref="O365" si="358">O363-O364</f>
        <v>1</v>
      </c>
      <c r="Q365" s="217"/>
      <c r="R365" s="217"/>
      <c r="S365" s="2" t="s">
        <v>99</v>
      </c>
      <c r="T365" s="15"/>
      <c r="U365" s="15"/>
      <c r="V365" s="15">
        <f t="shared" ref="V365:AB365" si="359">E365*E370</f>
        <v>8.3840400000000006</v>
      </c>
      <c r="W365" s="15">
        <f t="shared" si="359"/>
        <v>10.785</v>
      </c>
      <c r="X365" s="15">
        <f t="shared" si="359"/>
        <v>10.668780000000002</v>
      </c>
      <c r="Y365" s="15">
        <f t="shared" si="359"/>
        <v>14.713199999999999</v>
      </c>
      <c r="Z365" s="15">
        <f t="shared" si="359"/>
        <v>10.134399999999999</v>
      </c>
      <c r="AA365" s="15">
        <f t="shared" si="359"/>
        <v>13.695760000000002</v>
      </c>
      <c r="AB365" s="15">
        <f t="shared" si="359"/>
        <v>15.707999999999998</v>
      </c>
      <c r="AC365" s="15"/>
      <c r="AD365" s="21">
        <f>SUM(T365:AC365)</f>
        <v>84.089179999999999</v>
      </c>
    </row>
    <row r="366" spans="1:31" ht="15.75" customHeight="1" x14ac:dyDescent="0.3">
      <c r="A366" s="217"/>
      <c r="B366" s="2" t="s">
        <v>100</v>
      </c>
      <c r="C366" s="15"/>
      <c r="D366" s="15"/>
      <c r="E366" s="37">
        <v>17.811</v>
      </c>
      <c r="F366" s="15">
        <v>19.952999999999999</v>
      </c>
      <c r="G366" s="15">
        <v>21.428999999999998</v>
      </c>
      <c r="H366" s="15">
        <v>22.8</v>
      </c>
      <c r="I366" s="15">
        <v>24.47</v>
      </c>
      <c r="J366" s="15">
        <v>25.765000000000001</v>
      </c>
      <c r="K366" s="38">
        <v>25.95</v>
      </c>
      <c r="L366" s="15"/>
      <c r="M366" s="15"/>
      <c r="N366" s="15" t="s">
        <v>113</v>
      </c>
      <c r="O366" s="16">
        <f t="shared" ref="O366" si="360">COUNTIF(A363:M363, "&gt;=0" )</f>
        <v>7</v>
      </c>
      <c r="Q366" s="217"/>
      <c r="R366" s="217"/>
      <c r="S366" s="2" t="s">
        <v>100</v>
      </c>
      <c r="T366" s="15"/>
      <c r="U366" s="15"/>
      <c r="V366" s="15">
        <f t="shared" ref="V366:AB366" si="361">E366*E370</f>
        <v>7.4806200000000009</v>
      </c>
      <c r="W366" s="15">
        <f t="shared" si="361"/>
        <v>9.9764999999999997</v>
      </c>
      <c r="X366" s="15">
        <f t="shared" si="361"/>
        <v>9.8573399999999989</v>
      </c>
      <c r="Y366" s="15">
        <f t="shared" si="361"/>
        <v>13.68</v>
      </c>
      <c r="Z366" s="15">
        <f t="shared" si="361"/>
        <v>9.7880000000000003</v>
      </c>
      <c r="AA366" s="15">
        <f t="shared" si="361"/>
        <v>13.3978</v>
      </c>
      <c r="AB366" s="15">
        <f t="shared" si="361"/>
        <v>15.569999999999999</v>
      </c>
      <c r="AC366" s="15"/>
      <c r="AD366" s="21">
        <f>SUM(T366:AC366)</f>
        <v>79.750259999999997</v>
      </c>
    </row>
    <row r="367" spans="1:31" x14ac:dyDescent="0.3">
      <c r="A367" s="217"/>
      <c r="B367" s="2" t="s">
        <v>114</v>
      </c>
      <c r="C367" s="15"/>
      <c r="D367" s="15"/>
      <c r="E367" s="37">
        <v>17.811</v>
      </c>
      <c r="F367" s="15">
        <v>19.709</v>
      </c>
      <c r="G367" s="15">
        <v>20.224999999999998</v>
      </c>
      <c r="H367" s="15">
        <v>20.153000000000002</v>
      </c>
      <c r="I367" s="15">
        <v>21.032999999999998</v>
      </c>
      <c r="J367" s="15">
        <v>21.567</v>
      </c>
      <c r="K367" s="38">
        <v>22.922999999999998</v>
      </c>
      <c r="L367" s="15"/>
      <c r="M367" s="15"/>
      <c r="N367" s="15"/>
      <c r="O367" s="15"/>
      <c r="Q367" s="217"/>
      <c r="R367" s="217"/>
      <c r="S367" s="2" t="s">
        <v>114</v>
      </c>
      <c r="T367" s="15"/>
      <c r="U367" s="15"/>
      <c r="V367" s="15">
        <f t="shared" ref="V367:AB367" si="362">E367*E370</f>
        <v>7.4806200000000009</v>
      </c>
      <c r="W367" s="15">
        <f t="shared" si="362"/>
        <v>9.8544999999999998</v>
      </c>
      <c r="X367" s="15">
        <f t="shared" si="362"/>
        <v>9.3034999999999997</v>
      </c>
      <c r="Y367" s="15">
        <f t="shared" si="362"/>
        <v>12.091800000000001</v>
      </c>
      <c r="Z367" s="15">
        <f t="shared" si="362"/>
        <v>8.4131999999999998</v>
      </c>
      <c r="AA367" s="15">
        <f t="shared" si="362"/>
        <v>11.214840000000001</v>
      </c>
      <c r="AB367" s="15">
        <f t="shared" si="362"/>
        <v>13.753799999999998</v>
      </c>
      <c r="AC367" s="15"/>
      <c r="AD367" s="21">
        <f>SUM(T367:AC367)</f>
        <v>72.112259999999992</v>
      </c>
    </row>
    <row r="368" spans="1:31" x14ac:dyDescent="0.3">
      <c r="A368" s="217"/>
      <c r="C368" s="15"/>
      <c r="D368" s="15"/>
      <c r="E368" s="37"/>
      <c r="F368" s="15"/>
      <c r="G368" s="15"/>
      <c r="H368" s="15"/>
      <c r="I368" s="15"/>
      <c r="J368" s="15"/>
      <c r="K368" s="38"/>
      <c r="L368" s="15"/>
      <c r="M368" s="15"/>
      <c r="N368" s="15"/>
      <c r="O368" s="15"/>
      <c r="Q368" s="217"/>
      <c r="R368" s="217"/>
      <c r="S368" s="1" t="s">
        <v>115</v>
      </c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33">
        <f>(AD365-AD366)/AD365*100</f>
        <v>5.1599028555160151</v>
      </c>
      <c r="AE368" s="25"/>
    </row>
    <row r="369" spans="1:31" x14ac:dyDescent="0.3">
      <c r="A369" s="217"/>
      <c r="C369" s="15"/>
      <c r="D369" s="15"/>
      <c r="E369" s="37"/>
      <c r="F369" s="15"/>
      <c r="G369" s="15"/>
      <c r="H369" s="15"/>
      <c r="I369" s="15"/>
      <c r="J369" s="15"/>
      <c r="K369" s="38"/>
      <c r="L369" s="15"/>
      <c r="M369" s="15"/>
      <c r="N369" s="15"/>
      <c r="O369" s="15"/>
      <c r="Q369" s="217"/>
      <c r="R369" s="217"/>
      <c r="S369" s="1" t="s">
        <v>103</v>
      </c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33">
        <f>AD365-AD367</f>
        <v>11.976920000000007</v>
      </c>
      <c r="AE369" s="25"/>
    </row>
    <row r="370" spans="1:31" ht="16.2" thickBot="1" x14ac:dyDescent="0.35">
      <c r="A370" s="218"/>
      <c r="B370" s="28" t="s">
        <v>32</v>
      </c>
      <c r="C370" s="29"/>
      <c r="D370" s="29"/>
      <c r="E370" s="40">
        <v>0.42000000000000004</v>
      </c>
      <c r="F370" s="29">
        <v>0.5</v>
      </c>
      <c r="G370" s="29">
        <v>0.46</v>
      </c>
      <c r="H370" s="29">
        <v>0.6</v>
      </c>
      <c r="I370" s="29">
        <v>0.4</v>
      </c>
      <c r="J370" s="29">
        <v>0.52</v>
      </c>
      <c r="K370" s="41">
        <v>0.6</v>
      </c>
      <c r="L370" s="29"/>
      <c r="M370" s="29"/>
      <c r="N370" s="15"/>
      <c r="O370" s="15"/>
      <c r="P370" s="16"/>
      <c r="Q370" s="218"/>
      <c r="R370" s="217"/>
      <c r="S370" s="2" t="s">
        <v>97</v>
      </c>
      <c r="T370" s="219"/>
      <c r="U370" s="219"/>
      <c r="V370" s="219"/>
      <c r="W370" s="219"/>
      <c r="X370" s="219"/>
      <c r="Y370" s="219"/>
      <c r="Z370" s="219"/>
      <c r="AA370" s="219"/>
      <c r="AB370" s="219"/>
      <c r="AC370" s="219"/>
      <c r="AD370" s="39"/>
    </row>
  </sheetData>
  <mergeCells count="186">
    <mergeCell ref="A11:A18"/>
    <mergeCell ref="Q11:Q18"/>
    <mergeCell ref="R11:R14"/>
    <mergeCell ref="T18:AC18"/>
    <mergeCell ref="A19:A26"/>
    <mergeCell ref="Q19:Q26"/>
    <mergeCell ref="R19:R22"/>
    <mergeCell ref="T26:AC26"/>
    <mergeCell ref="A1:P1"/>
    <mergeCell ref="Q1:AD1"/>
    <mergeCell ref="A3:A10"/>
    <mergeCell ref="Q3:Q10"/>
    <mergeCell ref="R3:R7"/>
    <mergeCell ref="T10:AC10"/>
    <mergeCell ref="T42:AC42"/>
    <mergeCell ref="A43:A46"/>
    <mergeCell ref="Q43:Q46"/>
    <mergeCell ref="R43:R46"/>
    <mergeCell ref="T50:AC50"/>
    <mergeCell ref="A51:A54"/>
    <mergeCell ref="Q51:Q54"/>
    <mergeCell ref="R51:R54"/>
    <mergeCell ref="A27:A30"/>
    <mergeCell ref="Q27:Q30"/>
    <mergeCell ref="R27:R30"/>
    <mergeCell ref="T34:AC34"/>
    <mergeCell ref="A35:A38"/>
    <mergeCell ref="Q35:Q38"/>
    <mergeCell ref="R35:R38"/>
    <mergeCell ref="A75:A78"/>
    <mergeCell ref="Q75:Q78"/>
    <mergeCell ref="R75:R78"/>
    <mergeCell ref="T82:AC82"/>
    <mergeCell ref="A83:A90"/>
    <mergeCell ref="Q83:Q90"/>
    <mergeCell ref="R83:R86"/>
    <mergeCell ref="T90:AC90"/>
    <mergeCell ref="T58:AC58"/>
    <mergeCell ref="A59:A62"/>
    <mergeCell ref="Q59:Q62"/>
    <mergeCell ref="R59:R62"/>
    <mergeCell ref="T66:AC66"/>
    <mergeCell ref="A67:A74"/>
    <mergeCell ref="Q67:Q74"/>
    <mergeCell ref="R67:R74"/>
    <mergeCell ref="T74:AC74"/>
    <mergeCell ref="A107:A114"/>
    <mergeCell ref="Q107:Q114"/>
    <mergeCell ref="R107:R110"/>
    <mergeCell ref="T114:AC114"/>
    <mergeCell ref="A115:A118"/>
    <mergeCell ref="Q115:Q118"/>
    <mergeCell ref="R115:R118"/>
    <mergeCell ref="A91:A98"/>
    <mergeCell ref="Q91:Q98"/>
    <mergeCell ref="R91:R94"/>
    <mergeCell ref="T98:AC98"/>
    <mergeCell ref="A99:A106"/>
    <mergeCell ref="Q99:Q106"/>
    <mergeCell ref="R99:R102"/>
    <mergeCell ref="T106:AC106"/>
    <mergeCell ref="T138:AC138"/>
    <mergeCell ref="A139:A142"/>
    <mergeCell ref="Q139:Q142"/>
    <mergeCell ref="R139:R142"/>
    <mergeCell ref="T146:AC146"/>
    <mergeCell ref="A147:A150"/>
    <mergeCell ref="Q147:Q150"/>
    <mergeCell ref="R147:R150"/>
    <mergeCell ref="T122:AC122"/>
    <mergeCell ref="A123:A126"/>
    <mergeCell ref="Q123:Q126"/>
    <mergeCell ref="R123:R126"/>
    <mergeCell ref="T130:AC130"/>
    <mergeCell ref="A131:A134"/>
    <mergeCell ref="Q131:Q134"/>
    <mergeCell ref="R131:R134"/>
    <mergeCell ref="T170:AC170"/>
    <mergeCell ref="A171:A174"/>
    <mergeCell ref="Q171:Q174"/>
    <mergeCell ref="R171:R174"/>
    <mergeCell ref="T178:AC178"/>
    <mergeCell ref="A179:A182"/>
    <mergeCell ref="Q179:Q182"/>
    <mergeCell ref="R179:R182"/>
    <mergeCell ref="T154:AC154"/>
    <mergeCell ref="A155:A158"/>
    <mergeCell ref="Q155:Q158"/>
    <mergeCell ref="R155:R158"/>
    <mergeCell ref="T162:AC162"/>
    <mergeCell ref="A163:A166"/>
    <mergeCell ref="Q163:Q166"/>
    <mergeCell ref="R163:R166"/>
    <mergeCell ref="T202:AC202"/>
    <mergeCell ref="A203:A206"/>
    <mergeCell ref="Q203:Q206"/>
    <mergeCell ref="R203:R206"/>
    <mergeCell ref="T210:AC210"/>
    <mergeCell ref="A211:A214"/>
    <mergeCell ref="Q211:Q214"/>
    <mergeCell ref="R211:R214"/>
    <mergeCell ref="T186:AC186"/>
    <mergeCell ref="A187:A190"/>
    <mergeCell ref="Q187:Q190"/>
    <mergeCell ref="R187:R190"/>
    <mergeCell ref="T194:AC194"/>
    <mergeCell ref="A195:A198"/>
    <mergeCell ref="Q195:Q198"/>
    <mergeCell ref="R195:R198"/>
    <mergeCell ref="T234:AC234"/>
    <mergeCell ref="A235:A238"/>
    <mergeCell ref="Q235:Q238"/>
    <mergeCell ref="R235:R238"/>
    <mergeCell ref="T242:AC242"/>
    <mergeCell ref="A243:A246"/>
    <mergeCell ref="Q243:Q246"/>
    <mergeCell ref="R243:R246"/>
    <mergeCell ref="T218:AC218"/>
    <mergeCell ref="A219:A222"/>
    <mergeCell ref="Q219:Q222"/>
    <mergeCell ref="R219:R222"/>
    <mergeCell ref="T226:AC226"/>
    <mergeCell ref="A227:A230"/>
    <mergeCell ref="Q227:Q230"/>
    <mergeCell ref="R227:R230"/>
    <mergeCell ref="T266:AC266"/>
    <mergeCell ref="A267:A270"/>
    <mergeCell ref="Q267:Q270"/>
    <mergeCell ref="R267:R270"/>
    <mergeCell ref="T274:AC274"/>
    <mergeCell ref="A275:A278"/>
    <mergeCell ref="Q275:Q278"/>
    <mergeCell ref="R275:R278"/>
    <mergeCell ref="T250:AC250"/>
    <mergeCell ref="A251:A254"/>
    <mergeCell ref="Q251:Q254"/>
    <mergeCell ref="R251:R254"/>
    <mergeCell ref="T258:AC258"/>
    <mergeCell ref="A259:A262"/>
    <mergeCell ref="Q259:Q262"/>
    <mergeCell ref="R259:R262"/>
    <mergeCell ref="T298:AC298"/>
    <mergeCell ref="A299:A302"/>
    <mergeCell ref="Q299:Q302"/>
    <mergeCell ref="R299:R302"/>
    <mergeCell ref="T306:AC306"/>
    <mergeCell ref="A307:A310"/>
    <mergeCell ref="Q307:Q310"/>
    <mergeCell ref="R307:R310"/>
    <mergeCell ref="T282:AC282"/>
    <mergeCell ref="A283:A286"/>
    <mergeCell ref="Q283:Q286"/>
    <mergeCell ref="R283:R286"/>
    <mergeCell ref="T290:AC290"/>
    <mergeCell ref="A291:A294"/>
    <mergeCell ref="Q291:Q294"/>
    <mergeCell ref="R291:R294"/>
    <mergeCell ref="T330:AC330"/>
    <mergeCell ref="A331:A334"/>
    <mergeCell ref="Q331:Q334"/>
    <mergeCell ref="R331:R334"/>
    <mergeCell ref="T338:AC338"/>
    <mergeCell ref="A339:A342"/>
    <mergeCell ref="Q339:Q342"/>
    <mergeCell ref="R339:R342"/>
    <mergeCell ref="T314:AC314"/>
    <mergeCell ref="A315:A318"/>
    <mergeCell ref="Q315:Q318"/>
    <mergeCell ref="R315:R318"/>
    <mergeCell ref="T322:AC322"/>
    <mergeCell ref="A323:A326"/>
    <mergeCell ref="Q323:Q326"/>
    <mergeCell ref="R323:R326"/>
    <mergeCell ref="T362:AC362"/>
    <mergeCell ref="A363:A370"/>
    <mergeCell ref="Q363:Q370"/>
    <mergeCell ref="R363:R370"/>
    <mergeCell ref="T370:AC370"/>
    <mergeCell ref="T346:AC346"/>
    <mergeCell ref="A347:A350"/>
    <mergeCell ref="Q347:Q350"/>
    <mergeCell ref="R347:R350"/>
    <mergeCell ref="T354:AC354"/>
    <mergeCell ref="A355:A358"/>
    <mergeCell ref="Q355:Q358"/>
    <mergeCell ref="R355:R35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Mouse Registry</vt:lpstr>
      <vt:lpstr>Group</vt:lpstr>
      <vt:lpstr>Score Sheets</vt:lpstr>
      <vt:lpstr>Cylinder Data</vt:lpstr>
      <vt:lpstr>All sections</vt:lpstr>
      <vt:lpstr>Histology</vt:lpstr>
      <vt:lpstr>Flow Cytometry</vt:lpstr>
      <vt:lpstr>ROI section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116220385</dc:creator>
  <cp:lastModifiedBy>kyle malone</cp:lastModifiedBy>
  <cp:lastPrinted>2019-03-20T08:50:13Z</cp:lastPrinted>
  <dcterms:created xsi:type="dcterms:W3CDTF">2019-02-21T10:53:52Z</dcterms:created>
  <dcterms:modified xsi:type="dcterms:W3CDTF">2021-03-11T09:28:23Z</dcterms:modified>
</cp:coreProperties>
</file>