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_RPG\Documents\CityEngineDashboards\"/>
    </mc:Choice>
  </mc:AlternateContent>
  <xr:revisionPtr revIDLastSave="0" documentId="13_ncr:1_{7D93CE6B-113F-4201-99CA-92C5CB404718}" xr6:coauthVersionLast="45" xr6:coauthVersionMax="45" xr10:uidLastSave="{00000000-0000-0000-0000-000000000000}"/>
  <bookViews>
    <workbookView xWindow="-120" yWindow="-120" windowWidth="29040" windowHeight="15840" xr2:uid="{219B160E-0C1C-478E-B48E-CEEBF68B6B8F}"/>
  </bookViews>
  <sheets>
    <sheet name="Presentation" sheetId="3" r:id="rId1"/>
    <sheet name="Existing Report" sheetId="6" r:id="rId2"/>
    <sheet name="Design Report" sheetId="1" r:id="rId3"/>
    <sheet name="City Engine Data" sheetId="2" r:id="rId4"/>
    <sheet name="Parcel Data" sheetId="5" r:id="rId5"/>
    <sheet name="Allocation Data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8" i="3" l="1"/>
  <c r="P28" i="3"/>
  <c r="O28" i="3"/>
  <c r="O25" i="3"/>
  <c r="O26" i="3"/>
  <c r="O27" i="3"/>
  <c r="O24" i="3"/>
  <c r="Q22" i="3"/>
  <c r="P22" i="3"/>
  <c r="O22" i="3"/>
  <c r="O21" i="3"/>
  <c r="O20" i="3"/>
  <c r="M21" i="3"/>
  <c r="M22" i="3"/>
  <c r="M24" i="3"/>
  <c r="M25" i="3"/>
  <c r="M26" i="3"/>
  <c r="M27" i="3"/>
  <c r="M28" i="3"/>
  <c r="M30" i="3"/>
  <c r="M20" i="3"/>
  <c r="K30" i="3"/>
  <c r="L30" i="3"/>
  <c r="L28" i="3"/>
  <c r="L27" i="3"/>
  <c r="L26" i="3"/>
  <c r="L24" i="3"/>
  <c r="L25" i="3"/>
  <c r="L21" i="3"/>
  <c r="L20" i="3"/>
  <c r="L22" i="3" s="1"/>
  <c r="K21" i="3"/>
  <c r="K22" i="3"/>
  <c r="K24" i="3"/>
  <c r="K25" i="3"/>
  <c r="K26" i="3"/>
  <c r="K27" i="3"/>
  <c r="K28" i="3"/>
  <c r="K20" i="3"/>
  <c r="B35" i="3" l="1"/>
  <c r="C31" i="3"/>
  <c r="H33" i="3"/>
  <c r="G32" i="3"/>
  <c r="H32" i="3" s="1"/>
  <c r="G31" i="3"/>
  <c r="H31" i="3" s="1"/>
  <c r="G30" i="3"/>
  <c r="B32" i="3"/>
  <c r="B31" i="3"/>
  <c r="B30" i="3"/>
  <c r="B33" i="3" s="1"/>
  <c r="O18" i="1"/>
  <c r="O20" i="1"/>
  <c r="O19" i="1"/>
  <c r="Q21" i="1"/>
  <c r="C19" i="1"/>
  <c r="E20" i="1"/>
  <c r="D20" i="1"/>
  <c r="D19" i="1"/>
  <c r="C20" i="1"/>
  <c r="C21" i="1"/>
  <c r="C18" i="1"/>
  <c r="C17" i="1"/>
  <c r="G33" i="3" l="1"/>
  <c r="H30" i="3"/>
  <c r="G9" i="3"/>
  <c r="H9" i="3" s="1"/>
  <c r="G10" i="3"/>
  <c r="H10" i="3" s="1"/>
  <c r="G11" i="3"/>
  <c r="H11" i="3" s="1"/>
  <c r="G8" i="3"/>
  <c r="H8" i="3" s="1"/>
  <c r="G5" i="3"/>
  <c r="H5" i="3" s="1"/>
  <c r="G4" i="3"/>
  <c r="C5" i="3"/>
  <c r="C4" i="3"/>
  <c r="E11" i="6"/>
  <c r="C10" i="3" s="1"/>
  <c r="C8" i="3"/>
  <c r="C9" i="3"/>
  <c r="B11" i="3"/>
  <c r="B10" i="3"/>
  <c r="B8" i="3"/>
  <c r="B9" i="3"/>
  <c r="B5" i="3"/>
  <c r="B4" i="3"/>
  <c r="C28" i="6"/>
  <c r="E10" i="6"/>
  <c r="E9" i="6"/>
  <c r="E3" i="5"/>
  <c r="E4" i="5"/>
  <c r="E5" i="5"/>
  <c r="E6" i="5"/>
  <c r="E2" i="5"/>
  <c r="E6" i="6"/>
  <c r="E5" i="6"/>
  <c r="D11" i="6"/>
  <c r="K11" i="6" s="1"/>
  <c r="D10" i="6"/>
  <c r="K10" i="6" s="1"/>
  <c r="D9" i="6"/>
  <c r="K9" i="6" s="1"/>
  <c r="D6" i="6"/>
  <c r="J6" i="6" s="1"/>
  <c r="M6" i="6" s="1"/>
  <c r="D5" i="6"/>
  <c r="J5" i="6" s="1"/>
  <c r="M5" i="6" s="1"/>
  <c r="Q19" i="6"/>
  <c r="N13" i="6"/>
  <c r="K12" i="6"/>
  <c r="G12" i="6"/>
  <c r="D12" i="6"/>
  <c r="E21" i="6"/>
  <c r="D25" i="6"/>
  <c r="C25" i="6"/>
  <c r="F25" i="6" s="1"/>
  <c r="P21" i="6"/>
  <c r="C20" i="6"/>
  <c r="F20" i="6" s="1"/>
  <c r="O18" i="6"/>
  <c r="C17" i="6"/>
  <c r="O17" i="6" s="1"/>
  <c r="D16" i="6"/>
  <c r="E12" i="6"/>
  <c r="C11" i="3" s="1"/>
  <c r="C12" i="6"/>
  <c r="F12" i="6" s="1"/>
  <c r="C11" i="6"/>
  <c r="F11" i="6" s="1"/>
  <c r="L7" i="6"/>
  <c r="I7" i="6"/>
  <c r="H7" i="6"/>
  <c r="C7" i="6"/>
  <c r="C14" i="3" l="1"/>
  <c r="G6" i="3"/>
  <c r="G12" i="3"/>
  <c r="H4" i="3"/>
  <c r="H6" i="3" s="1"/>
  <c r="B6" i="3"/>
  <c r="C12" i="3"/>
  <c r="C6" i="3"/>
  <c r="H12" i="3"/>
  <c r="B12" i="3"/>
  <c r="E13" i="6"/>
  <c r="C21" i="6"/>
  <c r="E7" i="6"/>
  <c r="C13" i="6"/>
  <c r="C14" i="6" s="1"/>
  <c r="O21" i="6"/>
  <c r="F5" i="6"/>
  <c r="K13" i="6"/>
  <c r="M7" i="6"/>
  <c r="J7" i="6"/>
  <c r="D7" i="6"/>
  <c r="D13" i="6"/>
  <c r="D17" i="6"/>
  <c r="D20" i="6"/>
  <c r="G20" i="6" s="1"/>
  <c r="D19" i="6"/>
  <c r="C30" i="1"/>
  <c r="E13" i="1"/>
  <c r="E12" i="1"/>
  <c r="C27" i="3" s="1"/>
  <c r="C48" i="3" s="1"/>
  <c r="E11" i="1"/>
  <c r="C26" i="3" s="1"/>
  <c r="C47" i="3" s="1"/>
  <c r="E9" i="1"/>
  <c r="C24" i="3" s="1"/>
  <c r="E10" i="1"/>
  <c r="C25" i="3" s="1"/>
  <c r="E6" i="1"/>
  <c r="C21" i="3" s="1"/>
  <c r="E5" i="1"/>
  <c r="C20" i="3" s="1"/>
  <c r="E23" i="1"/>
  <c r="C22" i="1"/>
  <c r="F22" i="1" s="1"/>
  <c r="D17" i="1"/>
  <c r="D9" i="1"/>
  <c r="B24" i="3" s="1"/>
  <c r="B45" i="3" s="1"/>
  <c r="D10" i="1"/>
  <c r="B25" i="3" s="1"/>
  <c r="D11" i="1"/>
  <c r="D12" i="1"/>
  <c r="D13" i="1"/>
  <c r="G13" i="1" s="1"/>
  <c r="C13" i="1"/>
  <c r="F13" i="1" s="1"/>
  <c r="C12" i="1"/>
  <c r="F12" i="1" s="1"/>
  <c r="C11" i="1"/>
  <c r="F11" i="1" s="1"/>
  <c r="C10" i="1"/>
  <c r="C9" i="1"/>
  <c r="C6" i="1"/>
  <c r="D6" i="1"/>
  <c r="D5" i="1"/>
  <c r="C5" i="1"/>
  <c r="D27" i="1"/>
  <c r="I7" i="1"/>
  <c r="H7" i="1"/>
  <c r="L7" i="1"/>
  <c r="D18" i="1"/>
  <c r="C27" i="1"/>
  <c r="F27" i="1" s="1"/>
  <c r="D21" i="1"/>
  <c r="B14" i="3" l="1"/>
  <c r="G14" i="3"/>
  <c r="B46" i="3"/>
  <c r="C23" i="6"/>
  <c r="F17" i="6" s="1"/>
  <c r="J5" i="1"/>
  <c r="B20" i="3"/>
  <c r="G11" i="1"/>
  <c r="B26" i="3"/>
  <c r="K9" i="1"/>
  <c r="G24" i="3" s="1"/>
  <c r="C22" i="3"/>
  <c r="J6" i="1"/>
  <c r="G21" i="3" s="1"/>
  <c r="B21" i="3"/>
  <c r="B42" i="3" s="1"/>
  <c r="C28" i="3"/>
  <c r="C35" i="3"/>
  <c r="C51" i="3" s="1"/>
  <c r="G12" i="1"/>
  <c r="B27" i="3"/>
  <c r="B48" i="3" s="1"/>
  <c r="K10" i="1"/>
  <c r="G25" i="3" s="1"/>
  <c r="H25" i="3" s="1"/>
  <c r="E14" i="6"/>
  <c r="E23" i="6" s="1"/>
  <c r="D14" i="6"/>
  <c r="P22" i="6" s="1"/>
  <c r="K17" i="6"/>
  <c r="K16" i="6"/>
  <c r="P23" i="6" s="1"/>
  <c r="F18" i="6"/>
  <c r="F19" i="6"/>
  <c r="F6" i="6"/>
  <c r="F7" i="6" s="1"/>
  <c r="F9" i="6"/>
  <c r="F10" i="6"/>
  <c r="F16" i="6"/>
  <c r="C27" i="6"/>
  <c r="D21" i="6"/>
  <c r="D23" i="6" s="1"/>
  <c r="G17" i="6" s="1"/>
  <c r="O23" i="1"/>
  <c r="K11" i="1"/>
  <c r="G26" i="3" s="1"/>
  <c r="K13" i="1"/>
  <c r="K12" i="1"/>
  <c r="G27" i="3" s="1"/>
  <c r="E14" i="1"/>
  <c r="D14" i="1"/>
  <c r="D22" i="1"/>
  <c r="G22" i="1" s="1"/>
  <c r="C14" i="1"/>
  <c r="E7" i="1"/>
  <c r="C23" i="1"/>
  <c r="C7" i="1"/>
  <c r="D7" i="1"/>
  <c r="B28" i="3" l="1"/>
  <c r="B49" i="3" s="1"/>
  <c r="H21" i="3"/>
  <c r="H42" i="3" s="1"/>
  <c r="G42" i="3"/>
  <c r="H46" i="3"/>
  <c r="G46" i="3"/>
  <c r="H24" i="3"/>
  <c r="G45" i="3"/>
  <c r="G28" i="3"/>
  <c r="B47" i="3"/>
  <c r="G47" i="3"/>
  <c r="H26" i="3"/>
  <c r="H47" i="3" s="1"/>
  <c r="B41" i="3"/>
  <c r="B22" i="3"/>
  <c r="G48" i="3"/>
  <c r="H27" i="3"/>
  <c r="H48" i="3" s="1"/>
  <c r="J7" i="1"/>
  <c r="G20" i="3"/>
  <c r="G19" i="6"/>
  <c r="G11" i="6"/>
  <c r="F13" i="6"/>
  <c r="F14" i="6" s="1"/>
  <c r="F21" i="6"/>
  <c r="G10" i="6"/>
  <c r="G6" i="6"/>
  <c r="G18" i="6"/>
  <c r="G5" i="6"/>
  <c r="G9" i="6"/>
  <c r="G16" i="6"/>
  <c r="D27" i="6"/>
  <c r="K14" i="1"/>
  <c r="E15" i="1"/>
  <c r="E25" i="1" s="1"/>
  <c r="C15" i="1"/>
  <c r="C25" i="1" s="1"/>
  <c r="D23" i="1"/>
  <c r="D15" i="1"/>
  <c r="P24" i="1" s="1"/>
  <c r="F5" i="1" l="1"/>
  <c r="F20" i="1"/>
  <c r="G49" i="3"/>
  <c r="B43" i="3"/>
  <c r="B51" i="3"/>
  <c r="H45" i="3"/>
  <c r="H28" i="3"/>
  <c r="H49" i="3" s="1"/>
  <c r="H20" i="3"/>
  <c r="H41" i="3" s="1"/>
  <c r="G41" i="3"/>
  <c r="G22" i="3"/>
  <c r="G35" i="3" s="1"/>
  <c r="G51" i="3" s="1"/>
  <c r="G21" i="6"/>
  <c r="G7" i="6"/>
  <c r="F23" i="6"/>
  <c r="G13" i="6"/>
  <c r="K17" i="1"/>
  <c r="K18" i="1"/>
  <c r="D25" i="1"/>
  <c r="G20" i="1" s="1"/>
  <c r="F10" i="1"/>
  <c r="F19" i="1"/>
  <c r="F6" i="1"/>
  <c r="F9" i="1"/>
  <c r="F21" i="1"/>
  <c r="C29" i="1"/>
  <c r="F18" i="1"/>
  <c r="F17" i="1"/>
  <c r="F7" i="1" l="1"/>
  <c r="G14" i="6"/>
  <c r="G23" i="6" s="1"/>
  <c r="G17" i="1"/>
  <c r="G18" i="1"/>
  <c r="H22" i="3"/>
  <c r="H43" i="3" s="1"/>
  <c r="G43" i="3"/>
  <c r="P25" i="1"/>
  <c r="F14" i="1"/>
  <c r="F15" i="1" s="1"/>
  <c r="G5" i="1"/>
  <c r="G9" i="1"/>
  <c r="G19" i="1"/>
  <c r="G21" i="1"/>
  <c r="G10" i="1"/>
  <c r="G6" i="1"/>
  <c r="D29" i="1"/>
  <c r="M5" i="1"/>
  <c r="M6" i="1"/>
  <c r="F23" i="1"/>
  <c r="F25" i="1" l="1"/>
  <c r="G23" i="1"/>
  <c r="G7" i="1"/>
  <c r="G14" i="1"/>
  <c r="M7" i="1"/>
  <c r="G15" i="1" l="1"/>
  <c r="G25" i="1" s="1"/>
</calcChain>
</file>

<file path=xl/sharedStrings.xml><?xml version="1.0" encoding="utf-8"?>
<sst xmlns="http://schemas.openxmlformats.org/spreadsheetml/2006/main" count="476" uniqueCount="190">
  <si>
    <t>Areas</t>
  </si>
  <si>
    <t>Socioeconomic</t>
  </si>
  <si>
    <t>Residential</t>
  </si>
  <si>
    <t>Non-Res</t>
  </si>
  <si>
    <t>Parking</t>
  </si>
  <si>
    <t>Land Use</t>
  </si>
  <si>
    <t>Footprint SF</t>
  </si>
  <si>
    <t>Total SF</t>
  </si>
  <si>
    <t>FAR</t>
  </si>
  <si>
    <t>Footprint SF Mix</t>
  </si>
  <si>
    <t>Total SF Mix</t>
  </si>
  <si>
    <t>Residents</t>
  </si>
  <si>
    <t>Households</t>
  </si>
  <si>
    <t>Dwelling Units</t>
  </si>
  <si>
    <t>Jobs</t>
  </si>
  <si>
    <t>SF per Unit</t>
  </si>
  <si>
    <t>Units per Acre</t>
  </si>
  <si>
    <t>Jobs/1,000 sf</t>
  </si>
  <si>
    <t>Spaces</t>
  </si>
  <si>
    <t>SF per Space</t>
  </si>
  <si>
    <t>Open Space SF / Unit+Job</t>
  </si>
  <si>
    <t>Single family</t>
  </si>
  <si>
    <t>NA</t>
  </si>
  <si>
    <t>Multifamily</t>
  </si>
  <si>
    <t>Total Residential</t>
  </si>
  <si>
    <t>Office</t>
  </si>
  <si>
    <t>Retail</t>
  </si>
  <si>
    <t>Institutional</t>
  </si>
  <si>
    <t>Industrial</t>
  </si>
  <si>
    <t>Total Non-Residential</t>
  </si>
  <si>
    <t>Total Buildings</t>
  </si>
  <si>
    <t>Roads (less parking)</t>
  </si>
  <si>
    <t>Total Units+Jobs</t>
  </si>
  <si>
    <t>On-street parking</t>
  </si>
  <si>
    <t>Jobs/Housing Ratio</t>
  </si>
  <si>
    <t>Off-street parking</t>
  </si>
  <si>
    <t>Parks / open space</t>
  </si>
  <si>
    <t>Stormwater retention</t>
  </si>
  <si>
    <t>Total infrastructure</t>
  </si>
  <si>
    <t>Spaces / 1,000 Bld SF</t>
  </si>
  <si>
    <t>Total Developed</t>
  </si>
  <si>
    <t>Spaces / Unit+Job</t>
  </si>
  <si>
    <t>Undevelopable</t>
  </si>
  <si>
    <t>Total</t>
  </si>
  <si>
    <t>Acres</t>
  </si>
  <si>
    <t>Rates</t>
  </si>
  <si>
    <t>Report</t>
  </si>
  <si>
    <t>N</t>
  </si>
  <si>
    <t>%</t>
  </si>
  <si>
    <t>Sum</t>
  </si>
  <si>
    <t>Avg/Mod.</t>
  </si>
  <si>
    <t>Min/Mod.</t>
  </si>
  <si>
    <t>Max/Mod.</t>
  </si>
  <si>
    <t>NaNs</t>
  </si>
  <si>
    <t>Commercial Area</t>
  </si>
  <si>
    <t>Commercial Footprint Area</t>
  </si>
  <si>
    <t>Commercial Jobs</t>
  </si>
  <si>
    <t>Commercial Parcel Area</t>
  </si>
  <si>
    <t>MultiFamily Area</t>
  </si>
  <si>
    <t>MultiFamily Units</t>
  </si>
  <si>
    <t>Multifamily Footprint Area</t>
  </si>
  <si>
    <t>Multifamily Parcel Area</t>
  </si>
  <si>
    <t>Office Area</t>
  </si>
  <si>
    <t>Office Footprint Area</t>
  </si>
  <si>
    <t>Office Jobs</t>
  </si>
  <si>
    <t>Office Parcel Area</t>
  </si>
  <si>
    <t>Open Space Parcel Area</t>
  </si>
  <si>
    <t>Parking Footprint Area</t>
  </si>
  <si>
    <t>Parking Parcel Area</t>
  </si>
  <si>
    <t>Single Family Footprint Area</t>
  </si>
  <si>
    <t>Single Family Parcel Area</t>
  </si>
  <si>
    <t>Single Family Units</t>
  </si>
  <si>
    <t>Street Frontage Area</t>
  </si>
  <si>
    <t>Total Building Footprint Area</t>
  </si>
  <si>
    <t>Total Floor Area</t>
  </si>
  <si>
    <t>Total Open Space</t>
  </si>
  <si>
    <t>Total Parcel Area</t>
  </si>
  <si>
    <t>Total Parking Area</t>
  </si>
  <si>
    <t>Total Parking Spaces</t>
  </si>
  <si>
    <t>Total Road Area</t>
  </si>
  <si>
    <t>Total Sidewalk Area</t>
  </si>
  <si>
    <t>Hotel</t>
  </si>
  <si>
    <t>Single Family Area</t>
  </si>
  <si>
    <t>land_use</t>
  </si>
  <si>
    <t>square_ft</t>
  </si>
  <si>
    <t>parcel_area</t>
  </si>
  <si>
    <t>Hot_SF</t>
  </si>
  <si>
    <t>MF_SF</t>
  </si>
  <si>
    <t>Off_SF</t>
  </si>
  <si>
    <t>Ret_SF</t>
  </si>
  <si>
    <t>SF_SF</t>
  </si>
  <si>
    <t>Other</t>
  </si>
  <si>
    <t>FAR Check</t>
  </si>
  <si>
    <t>Existing Conditions</t>
  </si>
  <si>
    <t>Single Family</t>
  </si>
  <si>
    <t xml:space="preserve">Multifamily </t>
  </si>
  <si>
    <t xml:space="preserve">Residential </t>
  </si>
  <si>
    <t xml:space="preserve">Retail </t>
  </si>
  <si>
    <t xml:space="preserve">Office </t>
  </si>
  <si>
    <t xml:space="preserve">Hotel </t>
  </si>
  <si>
    <t xml:space="preserve">Other </t>
  </si>
  <si>
    <t>Non Residential</t>
  </si>
  <si>
    <t>Square Feet</t>
  </si>
  <si>
    <t>Floor Area Ratio</t>
  </si>
  <si>
    <t>Units Per Acre</t>
  </si>
  <si>
    <t>Statistics</t>
  </si>
  <si>
    <t>Jobs / Housing Ratio</t>
  </si>
  <si>
    <t>Design Conditions</t>
  </si>
  <si>
    <t>Units</t>
  </si>
  <si>
    <t xml:space="preserve">Total </t>
  </si>
  <si>
    <t>Unit</t>
  </si>
  <si>
    <t>Summary</t>
  </si>
  <si>
    <t>Change</t>
  </si>
  <si>
    <t>Bike Lane Area</t>
  </si>
  <si>
    <t>On Street Parking Spaces</t>
  </si>
  <si>
    <t>On street Parking Area</t>
  </si>
  <si>
    <t>Road Area, No Parking</t>
  </si>
  <si>
    <t>Street Length</t>
  </si>
  <si>
    <t>Structured Parking</t>
  </si>
  <si>
    <t>Structured Parking Spaces</t>
  </si>
  <si>
    <t>Surface Parking Area</t>
  </si>
  <si>
    <t>Surface Parking Spaces</t>
  </si>
  <si>
    <t>Surface Parking</t>
  </si>
  <si>
    <t>Total Parking</t>
  </si>
  <si>
    <t>On Street Parking</t>
  </si>
  <si>
    <t>stn_name</t>
  </si>
  <si>
    <t>SF_SF_Ex</t>
  </si>
  <si>
    <t>MF_SF_Ex</t>
  </si>
  <si>
    <t>Ret_SF_Ex</t>
  </si>
  <si>
    <t>Ind_SF_Ex</t>
  </si>
  <si>
    <t>Off_SF_Ex</t>
  </si>
  <si>
    <t>Hot_SF_Ex</t>
  </si>
  <si>
    <t>SF_SF_Pipe</t>
  </si>
  <si>
    <t>MF_SF_Pipe</t>
  </si>
  <si>
    <t>Ret_SF_Pipe</t>
  </si>
  <si>
    <t>Ind_SF_Pipe</t>
  </si>
  <si>
    <t>Off_SF_Pipe</t>
  </si>
  <si>
    <t>Hot_SF_Pipe</t>
  </si>
  <si>
    <t>SF_SF_Alloc</t>
  </si>
  <si>
    <t>MF_SF_Alloc</t>
  </si>
  <si>
    <t>Ret_SF_Alloc</t>
  </si>
  <si>
    <t>Ind_SF_Alloc</t>
  </si>
  <si>
    <t>Off_SF_Alloc</t>
  </si>
  <si>
    <t>Hot_SF_Alloc</t>
  </si>
  <si>
    <t>SF_SF_Fut</t>
  </si>
  <si>
    <t>MF_SF_Fut</t>
  </si>
  <si>
    <t>Ret_SF_Fut</t>
  </si>
  <si>
    <t>Ind_SF_Fut</t>
  </si>
  <si>
    <t>Off_SF_Fut</t>
  </si>
  <si>
    <t>Hot_SF_Fut</t>
  </si>
  <si>
    <t>HH_EX</t>
  </si>
  <si>
    <t>HH_PIPE</t>
  </si>
  <si>
    <t>HH_ALLOC</t>
  </si>
  <si>
    <t>HH_2040</t>
  </si>
  <si>
    <t>JOBS_EX</t>
  </si>
  <si>
    <t>JOBS_PIPE</t>
  </si>
  <si>
    <t>JOBS_ALLOC</t>
  </si>
  <si>
    <t>JOBS_2040</t>
  </si>
  <si>
    <t>Berlin G Myers Pkwy</t>
  </si>
  <si>
    <t>Calhoun St &amp; Coming St</t>
  </si>
  <si>
    <t>Calhoun St &amp; Jonathan Lucas</t>
  </si>
  <si>
    <t>College Park &amp; Fairgrounds</t>
  </si>
  <si>
    <t>Durant Ave</t>
  </si>
  <si>
    <t>Hanahan Road</t>
  </si>
  <si>
    <t>Lincolnville</t>
  </si>
  <si>
    <t>Medical District</t>
  </si>
  <si>
    <t>Meeting St &amp; Huger St</t>
  </si>
  <si>
    <t>Meeting St &amp; John St</t>
  </si>
  <si>
    <t>North Charleston/Mall Drive</t>
  </si>
  <si>
    <t>Northwoods Mall</t>
  </si>
  <si>
    <t>Otranto Rd</t>
  </si>
  <si>
    <t>Remount Rd</t>
  </si>
  <si>
    <t>Rivers Ave &amp; Reynolds Ave</t>
  </si>
  <si>
    <t>Rosemont</t>
  </si>
  <si>
    <t>Shipwatch Square</t>
  </si>
  <si>
    <t>Stromboli Ave</t>
  </si>
  <si>
    <t>Summerville</t>
  </si>
  <si>
    <t>Trident Health/CSU</t>
  </si>
  <si>
    <t>Trident Technical College</t>
  </si>
  <si>
    <t>US 78 &amp; Owens Dr</t>
  </si>
  <si>
    <t>Upper Peninsula (Mt. Pleasant Street)</t>
  </si>
  <si>
    <t>West Edge</t>
  </si>
  <si>
    <t>Design vs. Allocation</t>
  </si>
  <si>
    <t>Station:</t>
  </si>
  <si>
    <t>Design</t>
  </si>
  <si>
    <t>Allocation</t>
  </si>
  <si>
    <t>Difference</t>
  </si>
  <si>
    <t>House Holds</t>
  </si>
  <si>
    <t>Jobs Design</t>
  </si>
  <si>
    <t>Jobs Allocation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</si>
</sst>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3" fontId="0" fillId="0" borderId="6" xfId="0" applyNumberFormat="1" applyBorder="1" applyAlignment="1">
      <alignment vertical="center" wrapText="1"/>
    </xf>
    <xf numFmtId="3" fontId="0" fillId="0" borderId="2" xfId="0" applyNumberForma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9" fontId="0" fillId="0" borderId="2" xfId="0" applyNumberFormat="1" applyBorder="1" applyAlignment="1">
      <alignment vertical="center" wrapText="1"/>
    </xf>
    <xf numFmtId="3" fontId="0" fillId="0" borderId="7" xfId="0" applyNumberForma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9" fontId="0" fillId="0" borderId="7" xfId="0" applyNumberForma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9" fontId="0" fillId="0" borderId="0" xfId="0" applyNumberFormat="1" applyBorder="1" applyAlignment="1">
      <alignment vertical="center" wrapText="1"/>
    </xf>
    <xf numFmtId="9" fontId="0" fillId="0" borderId="5" xfId="0" applyNumberFormat="1" applyBorder="1" applyAlignment="1">
      <alignment vertical="center" wrapText="1"/>
    </xf>
    <xf numFmtId="9" fontId="0" fillId="0" borderId="3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9" fontId="0" fillId="0" borderId="8" xfId="0" applyNumberForma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3" fontId="0" fillId="0" borderId="10" xfId="0" applyNumberFormat="1" applyBorder="1" applyAlignment="1">
      <alignment vertical="center" wrapText="1"/>
    </xf>
    <xf numFmtId="11" fontId="0" fillId="0" borderId="0" xfId="0" applyNumberFormat="1"/>
    <xf numFmtId="0" fontId="1" fillId="0" borderId="17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1" fillId="0" borderId="19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1" fillId="0" borderId="0" xfId="0" applyFont="1"/>
    <xf numFmtId="2" fontId="0" fillId="0" borderId="0" xfId="0" applyNumberFormat="1"/>
    <xf numFmtId="2" fontId="1" fillId="0" borderId="1" xfId="0" applyNumberFormat="1" applyFont="1" applyBorder="1" applyAlignment="1">
      <alignment horizontal="center" vertical="center" wrapText="1"/>
    </xf>
    <xf numFmtId="2" fontId="0" fillId="0" borderId="0" xfId="0" applyNumberFormat="1" applyBorder="1" applyAlignment="1">
      <alignment vertical="center" wrapText="1"/>
    </xf>
    <xf numFmtId="2" fontId="0" fillId="0" borderId="2" xfId="0" applyNumberFormat="1" applyBorder="1" applyAlignment="1">
      <alignment vertical="center" wrapText="1"/>
    </xf>
    <xf numFmtId="2" fontId="0" fillId="0" borderId="7" xfId="0" applyNumberFormat="1" applyBorder="1" applyAlignment="1">
      <alignment vertical="center" wrapText="1"/>
    </xf>
    <xf numFmtId="2" fontId="0" fillId="0" borderId="0" xfId="0" applyNumberFormat="1" applyAlignment="1">
      <alignment vertical="center" wrapText="1"/>
    </xf>
    <xf numFmtId="1" fontId="0" fillId="0" borderId="0" xfId="0" applyNumberFormat="1"/>
    <xf numFmtId="1" fontId="1" fillId="0" borderId="1" xfId="0" applyNumberFormat="1" applyFont="1" applyBorder="1" applyAlignment="1">
      <alignment horizontal="center" vertical="center" wrapText="1"/>
    </xf>
    <xf numFmtId="1" fontId="0" fillId="0" borderId="0" xfId="0" applyNumberFormat="1" applyBorder="1" applyAlignment="1">
      <alignment vertical="center" wrapText="1"/>
    </xf>
    <xf numFmtId="1" fontId="0" fillId="0" borderId="2" xfId="0" applyNumberFormat="1" applyBorder="1" applyAlignment="1">
      <alignment vertical="center" wrapText="1"/>
    </xf>
    <xf numFmtId="1" fontId="0" fillId="0" borderId="7" xfId="0" applyNumberFormat="1" applyBorder="1" applyAlignment="1">
      <alignment vertical="center" wrapText="1"/>
    </xf>
    <xf numFmtId="1" fontId="0" fillId="0" borderId="0" xfId="0" applyNumberFormat="1" applyAlignment="1">
      <alignment vertical="center" wrapText="1"/>
    </xf>
    <xf numFmtId="2" fontId="1" fillId="0" borderId="4" xfId="0" applyNumberFormat="1" applyFont="1" applyBorder="1" applyAlignment="1">
      <alignment horizontal="center" vertical="center" wrapText="1"/>
    </xf>
    <xf numFmtId="2" fontId="0" fillId="0" borderId="5" xfId="0" applyNumberFormat="1" applyBorder="1" applyAlignment="1">
      <alignment vertical="center" wrapText="1"/>
    </xf>
    <xf numFmtId="2" fontId="0" fillId="0" borderId="3" xfId="0" applyNumberFormat="1" applyBorder="1" applyAlignment="1">
      <alignment vertical="center" wrapText="1"/>
    </xf>
    <xf numFmtId="2" fontId="0" fillId="0" borderId="8" xfId="0" applyNumberFormat="1" applyBorder="1" applyAlignment="1">
      <alignment vertical="center" wrapText="1"/>
    </xf>
    <xf numFmtId="1" fontId="1" fillId="0" borderId="4" xfId="0" applyNumberFormat="1" applyFont="1" applyBorder="1" applyAlignment="1">
      <alignment horizontal="center" vertical="center" wrapText="1"/>
    </xf>
    <xf numFmtId="1" fontId="0" fillId="0" borderId="5" xfId="0" applyNumberFormat="1" applyBorder="1" applyAlignment="1">
      <alignment vertical="center" wrapText="1"/>
    </xf>
    <xf numFmtId="1" fontId="0" fillId="0" borderId="3" xfId="0" applyNumberFormat="1" applyBorder="1" applyAlignment="1">
      <alignment vertical="center" wrapText="1"/>
    </xf>
    <xf numFmtId="1" fontId="0" fillId="0" borderId="8" xfId="0" applyNumberFormat="1" applyBorder="1" applyAlignment="1">
      <alignment vertical="center" wrapText="1"/>
    </xf>
    <xf numFmtId="1" fontId="0" fillId="0" borderId="14" xfId="0" applyNumberFormat="1" applyBorder="1" applyAlignment="1">
      <alignment vertical="center" wrapText="1"/>
    </xf>
    <xf numFmtId="0" fontId="2" fillId="0" borderId="0" xfId="0" applyNumberFormat="1" applyFont="1" applyFill="1" applyBorder="1" applyAlignment="1" applyProtection="1"/>
    <xf numFmtId="1" fontId="0" fillId="0" borderId="21" xfId="0" applyNumberFormat="1" applyBorder="1" applyAlignment="1">
      <alignment vertical="center" wrapText="1"/>
    </xf>
    <xf numFmtId="0" fontId="1" fillId="0" borderId="15" xfId="0" applyFont="1" applyBorder="1" applyAlignment="1">
      <alignment horizontal="center"/>
    </xf>
    <xf numFmtId="2" fontId="1" fillId="0" borderId="0" xfId="0" applyNumberFormat="1" applyFont="1" applyBorder="1"/>
    <xf numFmtId="0" fontId="0" fillId="0" borderId="10" xfId="0" applyBorder="1"/>
    <xf numFmtId="3" fontId="0" fillId="0" borderId="0" xfId="0" applyNumberFormat="1" applyBorder="1"/>
    <xf numFmtId="2" fontId="0" fillId="0" borderId="0" xfId="0" applyNumberFormat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1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3" fontId="0" fillId="0" borderId="2" xfId="0" applyNumberFormat="1" applyBorder="1"/>
    <xf numFmtId="2" fontId="0" fillId="0" borderId="2" xfId="0" applyNumberFormat="1" applyBorder="1"/>
    <xf numFmtId="0" fontId="0" fillId="0" borderId="2" xfId="0" applyBorder="1"/>
    <xf numFmtId="2" fontId="0" fillId="0" borderId="3" xfId="0" applyNumberFormat="1" applyBorder="1"/>
    <xf numFmtId="0" fontId="1" fillId="0" borderId="22" xfId="0" applyFont="1" applyBorder="1"/>
    <xf numFmtId="0" fontId="1" fillId="0" borderId="23" xfId="0" applyFont="1" applyBorder="1" applyAlignment="1"/>
    <xf numFmtId="2" fontId="1" fillId="0" borderId="23" xfId="0" applyNumberFormat="1" applyFont="1" applyBorder="1"/>
    <xf numFmtId="0" fontId="1" fillId="0" borderId="23" xfId="0" applyFont="1" applyBorder="1"/>
    <xf numFmtId="2" fontId="1" fillId="0" borderId="24" xfId="0" applyNumberFormat="1" applyFont="1" applyBorder="1"/>
    <xf numFmtId="1" fontId="0" fillId="0" borderId="2" xfId="0" applyNumberFormat="1" applyBorder="1"/>
    <xf numFmtId="2" fontId="0" fillId="0" borderId="7" xfId="0" applyNumberFormat="1" applyBorder="1"/>
    <xf numFmtId="0" fontId="0" fillId="0" borderId="7" xfId="0" applyBorder="1"/>
    <xf numFmtId="0" fontId="1" fillId="0" borderId="0" xfId="0" applyFont="1" applyBorder="1" applyAlignment="1">
      <alignment horizontal="center"/>
    </xf>
    <xf numFmtId="0" fontId="0" fillId="0" borderId="25" xfId="0" applyBorder="1"/>
    <xf numFmtId="3" fontId="0" fillId="0" borderId="26" xfId="0" applyNumberFormat="1" applyBorder="1"/>
    <xf numFmtId="2" fontId="0" fillId="0" borderId="26" xfId="0" applyNumberFormat="1" applyBorder="1"/>
    <xf numFmtId="0" fontId="0" fillId="0" borderId="26" xfId="0" applyBorder="1"/>
    <xf numFmtId="2" fontId="0" fillId="0" borderId="21" xfId="0" applyNumberFormat="1" applyBorder="1"/>
    <xf numFmtId="3" fontId="0" fillId="0" borderId="14" xfId="0" applyNumberFormat="1" applyBorder="1"/>
    <xf numFmtId="3" fontId="0" fillId="0" borderId="5" xfId="0" applyNumberFormat="1" applyBorder="1"/>
    <xf numFmtId="1" fontId="0" fillId="0" borderId="5" xfId="0" applyNumberFormat="1" applyBorder="1"/>
    <xf numFmtId="3" fontId="0" fillId="0" borderId="3" xfId="0" applyNumberFormat="1" applyBorder="1"/>
    <xf numFmtId="0" fontId="0" fillId="0" borderId="0" xfId="0" applyFill="1" applyBorder="1"/>
    <xf numFmtId="2" fontId="0" fillId="0" borderId="14" xfId="0" applyNumberFormat="1" applyBorder="1"/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16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/>
    <xf numFmtId="4" fontId="0" fillId="0" borderId="0" xfId="0" applyNumberFormat="1"/>
    <xf numFmtId="4" fontId="0" fillId="0" borderId="0" xfId="0" applyNumberFormat="1" applyBorder="1"/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1" fillId="0" borderId="2" xfId="0" applyFont="1" applyFill="1" applyBorder="1"/>
    <xf numFmtId="0" fontId="1" fillId="0" borderId="23" xfId="0" applyFont="1" applyFill="1" applyBorder="1"/>
    <xf numFmtId="4" fontId="0" fillId="0" borderId="2" xfId="0" applyNumberFormat="1" applyBorder="1"/>
    <xf numFmtId="4" fontId="0" fillId="0" borderId="26" xfId="0" applyNumberFormat="1" applyBorder="1"/>
    <xf numFmtId="0" fontId="0" fillId="0" borderId="16" xfId="0" applyBorder="1"/>
    <xf numFmtId="0" fontId="1" fillId="0" borderId="6" xfId="0" applyFont="1" applyFill="1" applyBorder="1"/>
    <xf numFmtId="0" fontId="1" fillId="0" borderId="24" xfId="0" applyFont="1" applyFill="1" applyBorder="1"/>
    <xf numFmtId="4" fontId="0" fillId="0" borderId="5" xfId="0" applyNumberFormat="1" applyBorder="1"/>
    <xf numFmtId="0" fontId="0" fillId="0" borderId="8" xfId="0" applyBorder="1"/>
    <xf numFmtId="4" fontId="0" fillId="0" borderId="15" xfId="0" applyNumberForma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4" fontId="0" fillId="0" borderId="14" xfId="0" applyNumberFormat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4" fontId="0" fillId="0" borderId="2" xfId="0" applyNumberFormat="1" applyFill="1" applyBorder="1" applyAlignment="1">
      <alignment horizontal="center" vertical="center"/>
    </xf>
    <xf numFmtId="4" fontId="0" fillId="0" borderId="5" xfId="0" applyNumberFormat="1" applyBorder="1" applyAlignment="1">
      <alignment horizontal="center" vertical="center"/>
    </xf>
    <xf numFmtId="4" fontId="1" fillId="0" borderId="2" xfId="0" applyNumberFormat="1" applyFont="1" applyBorder="1"/>
    <xf numFmtId="4" fontId="1" fillId="0" borderId="3" xfId="0" applyNumberFormat="1" applyFont="1" applyBorder="1"/>
    <xf numFmtId="4" fontId="0" fillId="0" borderId="23" xfId="0" applyNumberFormat="1" applyBorder="1"/>
    <xf numFmtId="4" fontId="0" fillId="0" borderId="2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89E7B-BA7D-4740-BDAC-6803D27EA65E}">
  <dimension ref="A1:U52"/>
  <sheetViews>
    <sheetView tabSelected="1" zoomScaleNormal="100" workbookViewId="0">
      <selection activeCell="R30" sqref="R30"/>
    </sheetView>
  </sheetViews>
  <sheetFormatPr defaultRowHeight="15" x14ac:dyDescent="0.25"/>
  <cols>
    <col min="1" max="1" width="21.42578125" bestFit="1" customWidth="1"/>
    <col min="2" max="2" width="11.5703125" bestFit="1" customWidth="1"/>
    <col min="3" max="3" width="15.28515625" style="32" bestFit="1" customWidth="1"/>
    <col min="4" max="4" width="5.28515625" style="32" customWidth="1"/>
    <col min="5" max="5" width="14" bestFit="1" customWidth="1"/>
    <col min="6" max="6" width="26.140625" bestFit="1" customWidth="1"/>
    <col min="7" max="7" width="26.140625" customWidth="1"/>
    <col min="8" max="8" width="13.7109375" style="32" bestFit="1" customWidth="1"/>
    <col min="10" max="10" width="19.5703125" bestFit="1" customWidth="1"/>
    <col min="11" max="11" width="17" bestFit="1" customWidth="1"/>
    <col min="12" max="12" width="11.7109375" bestFit="1" customWidth="1"/>
    <col min="13" max="13" width="12.42578125" bestFit="1" customWidth="1"/>
    <col min="15" max="15" width="14.140625" bestFit="1" customWidth="1"/>
    <col min="16" max="16" width="14.42578125" bestFit="1" customWidth="1"/>
    <col min="17" max="17" width="10.42578125" bestFit="1" customWidth="1"/>
  </cols>
  <sheetData>
    <row r="1" spans="1:14" x14ac:dyDescent="0.25">
      <c r="A1" s="89" t="s">
        <v>93</v>
      </c>
      <c r="B1" s="90"/>
      <c r="C1" s="90"/>
      <c r="D1" s="90"/>
      <c r="E1" s="90"/>
      <c r="F1" s="90"/>
      <c r="G1" s="90"/>
      <c r="H1" s="91"/>
    </row>
    <row r="2" spans="1:14" x14ac:dyDescent="0.25">
      <c r="A2" s="89" t="s">
        <v>111</v>
      </c>
      <c r="B2" s="90"/>
      <c r="C2" s="90"/>
      <c r="D2" s="55"/>
      <c r="E2" s="90" t="s">
        <v>105</v>
      </c>
      <c r="F2" s="90"/>
      <c r="G2" s="90"/>
      <c r="H2" s="91"/>
    </row>
    <row r="3" spans="1:14" x14ac:dyDescent="0.25">
      <c r="A3" s="69" t="s">
        <v>5</v>
      </c>
      <c r="B3" s="70" t="s">
        <v>102</v>
      </c>
      <c r="C3" s="71" t="s">
        <v>103</v>
      </c>
      <c r="D3" s="56"/>
      <c r="E3" s="72" t="s">
        <v>110</v>
      </c>
      <c r="F3" s="72" t="s">
        <v>5</v>
      </c>
      <c r="G3" s="72" t="s">
        <v>108</v>
      </c>
      <c r="H3" s="73" t="s">
        <v>104</v>
      </c>
    </row>
    <row r="4" spans="1:14" x14ac:dyDescent="0.25">
      <c r="A4" s="57" t="s">
        <v>94</v>
      </c>
      <c r="B4" s="58">
        <f>'Existing Report'!D5</f>
        <v>24014</v>
      </c>
      <c r="C4" s="59">
        <f>'Existing Report'!E5</f>
        <v>0.31592512491579777</v>
      </c>
      <c r="D4" s="59"/>
      <c r="E4" s="92" t="s">
        <v>13</v>
      </c>
      <c r="F4" s="61" t="s">
        <v>94</v>
      </c>
      <c r="G4" s="62">
        <f>'Existing Report'!J5</f>
        <v>12.007</v>
      </c>
      <c r="H4" s="63">
        <f>IF(G4 = "NA", "NA", G4/'Existing Report'!$C$28)</f>
        <v>4.2697225438175702E-2</v>
      </c>
    </row>
    <row r="5" spans="1:14" x14ac:dyDescent="0.25">
      <c r="A5" s="64" t="s">
        <v>95</v>
      </c>
      <c r="B5" s="65">
        <f>'Existing Report'!D6</f>
        <v>136561</v>
      </c>
      <c r="C5" s="66">
        <f>'Existing Report'!E6</f>
        <v>0.95031088747812864</v>
      </c>
      <c r="D5" s="59"/>
      <c r="E5" s="92"/>
      <c r="F5" s="67" t="s">
        <v>95</v>
      </c>
      <c r="G5" s="74">
        <f>'Existing Report'!J6</f>
        <v>136.56100000000001</v>
      </c>
      <c r="H5" s="68">
        <f>IF(G5 = "NA", "NA", G5/'Existing Report'!$C$28)</f>
        <v>0.48561470834202652</v>
      </c>
    </row>
    <row r="6" spans="1:14" x14ac:dyDescent="0.25">
      <c r="A6" s="57" t="s">
        <v>96</v>
      </c>
      <c r="B6" s="58">
        <f>SUM(B4:B5)</f>
        <v>160575</v>
      </c>
      <c r="C6" s="59">
        <f>AVERAGE(C5,C4)</f>
        <v>0.63311800619696323</v>
      </c>
      <c r="D6" s="59"/>
      <c r="E6" s="92"/>
      <c r="F6" s="61" t="s">
        <v>43</v>
      </c>
      <c r="G6" s="62">
        <f>SUM(G4:G5)</f>
        <v>148.56800000000001</v>
      </c>
      <c r="H6" s="63">
        <f>SUM(H4:H5)</f>
        <v>0.52831193378020225</v>
      </c>
    </row>
    <row r="7" spans="1:14" x14ac:dyDescent="0.25">
      <c r="A7" s="57"/>
      <c r="B7" s="61"/>
      <c r="C7" s="59"/>
      <c r="D7" s="59"/>
      <c r="E7" s="61"/>
      <c r="F7" s="61"/>
      <c r="G7" s="61"/>
      <c r="H7" s="63"/>
    </row>
    <row r="8" spans="1:14" x14ac:dyDescent="0.25">
      <c r="A8" s="57" t="s">
        <v>98</v>
      </c>
      <c r="B8" s="58">
        <f>'Existing Report'!D9</f>
        <v>392967</v>
      </c>
      <c r="C8" s="59">
        <f>'Existing Report'!E9</f>
        <v>0.73501292386975681</v>
      </c>
      <c r="D8" s="59"/>
      <c r="E8" s="92" t="s">
        <v>14</v>
      </c>
      <c r="F8" s="61" t="s">
        <v>98</v>
      </c>
      <c r="G8" s="62">
        <f>'Existing Report'!K9</f>
        <v>1178.9009999999998</v>
      </c>
      <c r="H8" s="63">
        <f>IF(G8 = "NA", "NA", G8/'Existing Report'!$C$28)</f>
        <v>4.1922046944524665</v>
      </c>
    </row>
    <row r="9" spans="1:14" x14ac:dyDescent="0.25">
      <c r="A9" s="57" t="s">
        <v>97</v>
      </c>
      <c r="B9" s="58">
        <f>'Existing Report'!D10</f>
        <v>2995684</v>
      </c>
      <c r="C9" s="59">
        <f>'Existing Report'!E10</f>
        <v>0.26394070076597642</v>
      </c>
      <c r="D9" s="59"/>
      <c r="E9" s="92"/>
      <c r="F9" s="61" t="s">
        <v>26</v>
      </c>
      <c r="G9" s="62">
        <f>'Existing Report'!K10</f>
        <v>5991.3680000000004</v>
      </c>
      <c r="H9" s="63">
        <f>IF(G9 = "NA", "NA", G9/'Existing Report'!$C$28)</f>
        <v>21.305470990178389</v>
      </c>
    </row>
    <row r="10" spans="1:14" x14ac:dyDescent="0.25">
      <c r="A10" s="57" t="s">
        <v>99</v>
      </c>
      <c r="B10" s="58">
        <f>'Existing Report'!D11</f>
        <v>50000</v>
      </c>
      <c r="C10" s="59">
        <f>'Existing Report'!E11</f>
        <v>0.34380043508118335</v>
      </c>
      <c r="D10" s="59"/>
      <c r="E10" s="92"/>
      <c r="F10" s="61" t="s">
        <v>81</v>
      </c>
      <c r="G10" s="62">
        <f>'Existing Report'!K11</f>
        <v>100</v>
      </c>
      <c r="H10" s="63">
        <f>IF(G10 = "NA", "NA", G10/'Existing Report'!$C$28)</f>
        <v>0.35560277703152915</v>
      </c>
    </row>
    <row r="11" spans="1:14" x14ac:dyDescent="0.25">
      <c r="A11" s="67" t="s">
        <v>100</v>
      </c>
      <c r="B11" s="65" t="str">
        <f>'Existing Report'!D12</f>
        <v>NA</v>
      </c>
      <c r="C11" s="66" t="str">
        <f>'Existing Report'!E12</f>
        <v>NA</v>
      </c>
      <c r="D11" s="59"/>
      <c r="E11" s="92"/>
      <c r="F11" s="67" t="s">
        <v>91</v>
      </c>
      <c r="G11" s="74" t="str">
        <f>'Existing Report'!K12</f>
        <v>NA</v>
      </c>
      <c r="H11" s="68" t="str">
        <f>IF(G11 = "NA", "NA", G11/'Existing Report'!$C$28)</f>
        <v>NA</v>
      </c>
    </row>
    <row r="12" spans="1:14" x14ac:dyDescent="0.25">
      <c r="A12" s="57" t="s">
        <v>101</v>
      </c>
      <c r="B12" s="58">
        <f>SUM(B9:B11)</f>
        <v>3045684</v>
      </c>
      <c r="C12" s="59">
        <f>AVERAGE(C9:C11)</f>
        <v>0.30387056792357992</v>
      </c>
      <c r="D12" s="59"/>
      <c r="E12" s="92"/>
      <c r="F12" s="61" t="s">
        <v>109</v>
      </c>
      <c r="G12" s="62">
        <f>SUM(G8:G11)</f>
        <v>7270.2690000000002</v>
      </c>
      <c r="H12" s="63">
        <f>SUM(H9:H11)</f>
        <v>21.661073767209917</v>
      </c>
    </row>
    <row r="13" spans="1:14" x14ac:dyDescent="0.25">
      <c r="A13" s="57"/>
      <c r="B13" s="58"/>
      <c r="C13" s="59"/>
      <c r="D13" s="59"/>
      <c r="E13" s="60"/>
      <c r="F13" s="61"/>
      <c r="G13" s="62"/>
      <c r="H13" s="63"/>
    </row>
    <row r="14" spans="1:14" ht="15.75" thickBot="1" x14ac:dyDescent="0.3">
      <c r="A14" s="78" t="s">
        <v>43</v>
      </c>
      <c r="B14" s="79">
        <f>SUM(B6,B12)</f>
        <v>3206259</v>
      </c>
      <c r="C14" s="80">
        <f>AVERAGE(C8:C11,C4,C5)</f>
        <v>0.52179801442216855</v>
      </c>
      <c r="D14" s="75"/>
      <c r="E14" s="76"/>
      <c r="F14" s="81" t="s">
        <v>106</v>
      </c>
      <c r="G14" s="81">
        <f>G12/G6</f>
        <v>48.935632168434651</v>
      </c>
      <c r="H14" s="82"/>
    </row>
    <row r="15" spans="1:14" ht="15.75" thickTop="1" x14ac:dyDescent="0.25">
      <c r="J15" s="69" t="s">
        <v>183</v>
      </c>
      <c r="K15" s="101" t="s">
        <v>169</v>
      </c>
      <c r="L15" s="101"/>
      <c r="M15" s="102"/>
      <c r="N15" s="98"/>
    </row>
    <row r="17" spans="1:21" x14ac:dyDescent="0.25">
      <c r="A17" s="89" t="s">
        <v>107</v>
      </c>
      <c r="B17" s="90"/>
      <c r="C17" s="90"/>
      <c r="D17" s="90"/>
      <c r="E17" s="90"/>
      <c r="F17" s="90"/>
      <c r="G17" s="90"/>
      <c r="H17" s="91"/>
      <c r="J17" s="89" t="s">
        <v>182</v>
      </c>
      <c r="K17" s="90"/>
      <c r="L17" s="90"/>
      <c r="M17" s="90"/>
      <c r="N17" s="90"/>
      <c r="O17" s="90"/>
      <c r="P17" s="90"/>
      <c r="Q17" s="91"/>
    </row>
    <row r="18" spans="1:21" x14ac:dyDescent="0.25">
      <c r="A18" s="89" t="s">
        <v>111</v>
      </c>
      <c r="B18" s="90"/>
      <c r="C18" s="90"/>
      <c r="D18" s="77"/>
      <c r="E18" s="90" t="s">
        <v>105</v>
      </c>
      <c r="F18" s="90"/>
      <c r="G18" s="90"/>
      <c r="H18" s="91"/>
      <c r="J18" s="107"/>
      <c r="K18" s="90" t="s">
        <v>102</v>
      </c>
      <c r="L18" s="90"/>
      <c r="M18" s="90"/>
      <c r="O18" s="90" t="s">
        <v>108</v>
      </c>
      <c r="P18" s="90"/>
      <c r="Q18" s="91"/>
    </row>
    <row r="19" spans="1:21" x14ac:dyDescent="0.25">
      <c r="A19" s="69" t="s">
        <v>5</v>
      </c>
      <c r="B19" s="70" t="s">
        <v>102</v>
      </c>
      <c r="C19" s="71" t="s">
        <v>103</v>
      </c>
      <c r="D19" s="56"/>
      <c r="E19" s="72" t="s">
        <v>110</v>
      </c>
      <c r="F19" s="72" t="s">
        <v>5</v>
      </c>
      <c r="G19" s="72" t="s">
        <v>108</v>
      </c>
      <c r="H19" s="73" t="s">
        <v>104</v>
      </c>
      <c r="J19" s="108" t="s">
        <v>5</v>
      </c>
      <c r="K19" s="103" t="s">
        <v>184</v>
      </c>
      <c r="L19" s="103" t="s">
        <v>185</v>
      </c>
      <c r="M19" s="103" t="s">
        <v>186</v>
      </c>
      <c r="O19" s="104" t="s">
        <v>13</v>
      </c>
      <c r="P19" s="104" t="s">
        <v>187</v>
      </c>
      <c r="Q19" s="109" t="s">
        <v>186</v>
      </c>
    </row>
    <row r="20" spans="1:21" x14ac:dyDescent="0.25">
      <c r="A20" s="57" t="s">
        <v>94</v>
      </c>
      <c r="B20" s="58">
        <f>'Design Report'!D5</f>
        <v>527832.65720933594</v>
      </c>
      <c r="C20" s="59">
        <f>'Design Report'!E5</f>
        <v>0.65911468783686755</v>
      </c>
      <c r="D20" s="59"/>
      <c r="E20" s="92" t="s">
        <v>13</v>
      </c>
      <c r="F20" s="61" t="s">
        <v>94</v>
      </c>
      <c r="G20" s="62">
        <f>'Design Report'!J5</f>
        <v>263.91632860466797</v>
      </c>
      <c r="H20" s="63">
        <f>IF(G20 = "NA", "NA", G20/'Design Report'!$C$30)</f>
        <v>1.1688720319657973</v>
      </c>
      <c r="J20" s="57" t="s">
        <v>94</v>
      </c>
      <c r="K20" s="100">
        <f>B20</f>
        <v>527832.65720933594</v>
      </c>
      <c r="L20" s="100">
        <f>_xlfn.XLOOKUP($K$15,'Allocation Data'!$B:$B,'Allocation Data'!$U:$U, "NA")</f>
        <v>963685</v>
      </c>
      <c r="M20" s="99">
        <f>K20-L20</f>
        <v>-435852.34279066406</v>
      </c>
      <c r="O20" s="100">
        <f>G20</f>
        <v>263.91632860466797</v>
      </c>
      <c r="P20" s="112" t="s">
        <v>22</v>
      </c>
      <c r="Q20" s="114" t="s">
        <v>22</v>
      </c>
    </row>
    <row r="21" spans="1:21" x14ac:dyDescent="0.25">
      <c r="A21" s="64" t="s">
        <v>95</v>
      </c>
      <c r="B21" s="65">
        <f>'Design Report'!D6</f>
        <v>1857892.0996756</v>
      </c>
      <c r="C21" s="66">
        <f>'Design Report'!E6</f>
        <v>1.0729316491402847</v>
      </c>
      <c r="D21" s="59"/>
      <c r="E21" s="92"/>
      <c r="F21" s="67" t="s">
        <v>95</v>
      </c>
      <c r="G21" s="74">
        <f>'Design Report'!J6</f>
        <v>1857.8920996755999</v>
      </c>
      <c r="H21" s="68">
        <f>IF(G21 = "NA", "NA", G21/'Design Report'!$C$30)</f>
        <v>8.228509865996255</v>
      </c>
      <c r="J21" s="64" t="s">
        <v>95</v>
      </c>
      <c r="K21" s="105">
        <f t="shared" ref="K21:K35" si="0">B21</f>
        <v>1857892.0996756</v>
      </c>
      <c r="L21" s="105">
        <f>_xlfn.XLOOKUP($K$15,'Allocation Data'!$B:$B,'Allocation Data'!$V:$V, "NA")</f>
        <v>1838702</v>
      </c>
      <c r="M21" s="105">
        <f t="shared" ref="M21:M30" si="1">K21-L21</f>
        <v>19190.099675599951</v>
      </c>
      <c r="O21" s="105">
        <f>G21</f>
        <v>1857.8920996755999</v>
      </c>
      <c r="P21" s="113"/>
      <c r="Q21" s="115"/>
    </row>
    <row r="22" spans="1:21" x14ac:dyDescent="0.25">
      <c r="A22" s="57" t="s">
        <v>96</v>
      </c>
      <c r="B22" s="58">
        <f>SUM(B20:B21)</f>
        <v>2385724.7568849358</v>
      </c>
      <c r="C22" s="59">
        <f>AVERAGE(C21,C20)</f>
        <v>0.86602316848857619</v>
      </c>
      <c r="D22" s="59"/>
      <c r="E22" s="92"/>
      <c r="F22" s="61" t="s">
        <v>43</v>
      </c>
      <c r="G22" s="62">
        <f>SUM(G20,G21)</f>
        <v>2121.8084282802679</v>
      </c>
      <c r="H22" s="63">
        <f>IF(G22 = "NA", "NA", G22/'Design Report'!$C$30)</f>
        <v>9.3973818979620525</v>
      </c>
      <c r="J22" s="57" t="s">
        <v>96</v>
      </c>
      <c r="K22" s="100">
        <f t="shared" si="0"/>
        <v>2385724.7568849358</v>
      </c>
      <c r="L22" s="100">
        <f>SUM(L20,L21)</f>
        <v>2802387</v>
      </c>
      <c r="M22" s="99">
        <f t="shared" si="1"/>
        <v>-416662.24311506422</v>
      </c>
      <c r="O22" s="121">
        <f>SUM(O21,O20)</f>
        <v>2121.8084282802679</v>
      </c>
      <c r="P22" s="121">
        <f>_xlfn.XLOOKUP($K$15,'Allocation Data'!$B:$B,'Allocation Data'!$AD:$AD, "NA")</f>
        <v>1933</v>
      </c>
      <c r="Q22" s="122">
        <f t="shared" ref="Q21:Q22" si="2">O22-P22</f>
        <v>188.80842828026789</v>
      </c>
    </row>
    <row r="23" spans="1:21" x14ac:dyDescent="0.25">
      <c r="A23" s="57"/>
      <c r="B23" s="61"/>
      <c r="C23" s="59"/>
      <c r="D23" s="59"/>
      <c r="E23" s="61"/>
      <c r="F23" s="61"/>
      <c r="G23" s="61"/>
      <c r="H23" s="63"/>
      <c r="J23" s="57"/>
      <c r="K23" s="100"/>
      <c r="L23" s="100"/>
      <c r="M23" s="99"/>
      <c r="O23" s="119" t="s">
        <v>188</v>
      </c>
      <c r="P23" s="119" t="s">
        <v>189</v>
      </c>
      <c r="Q23" s="120" t="s">
        <v>186</v>
      </c>
      <c r="R23" s="61"/>
      <c r="S23" s="61"/>
      <c r="T23" s="61"/>
      <c r="U23" s="61"/>
    </row>
    <row r="24" spans="1:21" x14ac:dyDescent="0.25">
      <c r="A24" s="57" t="s">
        <v>98</v>
      </c>
      <c r="B24" s="58">
        <f>'Design Report'!D9</f>
        <v>1403984.1333485399</v>
      </c>
      <c r="C24" s="59">
        <f>'Design Report'!E9</f>
        <v>1.0664624645174858</v>
      </c>
      <c r="D24" s="59"/>
      <c r="E24" s="92" t="s">
        <v>14</v>
      </c>
      <c r="F24" s="61" t="s">
        <v>98</v>
      </c>
      <c r="G24" s="62">
        <f>'Design Report'!K9</f>
        <v>4211.9524000456195</v>
      </c>
      <c r="H24" s="63">
        <f>IF(G24 = "NA", "NA", G24/'Design Report'!$C$30)</f>
        <v>18.654523524231312</v>
      </c>
      <c r="J24" s="57" t="s">
        <v>98</v>
      </c>
      <c r="K24" s="100">
        <f t="shared" si="0"/>
        <v>1403984.1333485399</v>
      </c>
      <c r="L24" s="100">
        <f>_xlfn.XLOOKUP($K$15,'Allocation Data'!$B:$B,'Allocation Data'!$Y:$Y, "NA")</f>
        <v>438738</v>
      </c>
      <c r="M24" s="99">
        <f t="shared" si="1"/>
        <v>965246.13334853994</v>
      </c>
      <c r="O24" s="100">
        <f>G24</f>
        <v>4211.9524000456195</v>
      </c>
      <c r="P24" s="116" t="s">
        <v>22</v>
      </c>
      <c r="Q24" s="118" t="s">
        <v>22</v>
      </c>
      <c r="R24" s="61"/>
      <c r="S24" s="61"/>
      <c r="T24" s="61"/>
      <c r="U24" s="61"/>
    </row>
    <row r="25" spans="1:21" x14ac:dyDescent="0.25">
      <c r="A25" s="57" t="s">
        <v>97</v>
      </c>
      <c r="B25" s="58">
        <f>'Design Report'!D10</f>
        <v>2312901.13482391</v>
      </c>
      <c r="C25" s="59">
        <f>'Design Report'!E10</f>
        <v>0.64544139714708626</v>
      </c>
      <c r="D25" s="59"/>
      <c r="E25" s="92"/>
      <c r="F25" s="61" t="s">
        <v>26</v>
      </c>
      <c r="G25" s="62">
        <f>'Design Report'!K10</f>
        <v>4625.8022696478201</v>
      </c>
      <c r="H25" s="63">
        <f>IF(G25 = "NA", "NA", G25/'Design Report'!$C$30)</f>
        <v>20.487443603743774</v>
      </c>
      <c r="J25" s="57" t="s">
        <v>97</v>
      </c>
      <c r="K25" s="100">
        <f t="shared" si="0"/>
        <v>2312901.13482391</v>
      </c>
      <c r="L25" s="100">
        <f>_xlfn.XLOOKUP($K$15,'Allocation Data'!$B:$B,'Allocation Data'!$W:$W, "NA")</f>
        <v>2695801</v>
      </c>
      <c r="M25" s="99">
        <f t="shared" si="1"/>
        <v>-382899.86517609004</v>
      </c>
      <c r="O25" s="100">
        <f t="shared" ref="O25:O27" si="3">G25</f>
        <v>4625.8022696478201</v>
      </c>
      <c r="P25" s="116"/>
      <c r="Q25" s="118"/>
      <c r="R25" s="61"/>
      <c r="S25" s="61"/>
      <c r="T25" s="61"/>
      <c r="U25" s="61"/>
    </row>
    <row r="26" spans="1:21" x14ac:dyDescent="0.25">
      <c r="A26" s="57" t="s">
        <v>99</v>
      </c>
      <c r="B26" s="58" t="str">
        <f>'Design Report'!D11</f>
        <v>NA</v>
      </c>
      <c r="C26" s="59" t="str">
        <f>'Design Report'!E11</f>
        <v>NA</v>
      </c>
      <c r="D26" s="59"/>
      <c r="E26" s="92"/>
      <c r="F26" s="61" t="s">
        <v>81</v>
      </c>
      <c r="G26" s="62" t="str">
        <f>'Design Report'!K11</f>
        <v>NA</v>
      </c>
      <c r="H26" s="63" t="str">
        <f>IF(G26 = "NA", "NA", G26/'Design Report'!$C$30)</f>
        <v>NA</v>
      </c>
      <c r="J26" s="57" t="s">
        <v>99</v>
      </c>
      <c r="K26" s="100" t="str">
        <f t="shared" si="0"/>
        <v>NA</v>
      </c>
      <c r="L26" s="100">
        <f>_xlfn.XLOOKUP($K$15,'Allocation Data'!$B:$B,'Allocation Data'!$Z:$Z, "NA")</f>
        <v>29000</v>
      </c>
      <c r="M26" s="99" t="e">
        <f t="shared" si="1"/>
        <v>#VALUE!</v>
      </c>
      <c r="O26" s="100" t="str">
        <f t="shared" si="3"/>
        <v>NA</v>
      </c>
      <c r="P26" s="116"/>
      <c r="Q26" s="118"/>
      <c r="R26" s="59"/>
      <c r="S26" s="61"/>
      <c r="T26" s="61"/>
      <c r="U26" s="61"/>
    </row>
    <row r="27" spans="1:21" x14ac:dyDescent="0.25">
      <c r="A27" s="67" t="s">
        <v>100</v>
      </c>
      <c r="B27" s="65" t="str">
        <f>'Design Report'!D12</f>
        <v>NA</v>
      </c>
      <c r="C27" s="66" t="str">
        <f>'Design Report'!E12</f>
        <v>NA</v>
      </c>
      <c r="D27" s="59"/>
      <c r="E27" s="92"/>
      <c r="F27" s="67" t="s">
        <v>91</v>
      </c>
      <c r="G27" s="74" t="str">
        <f>'Design Report'!K12</f>
        <v>NA</v>
      </c>
      <c r="H27" s="68" t="str">
        <f>IF(G27 = "NA", "NA", G27/'Design Report'!$C$30)</f>
        <v>NA</v>
      </c>
      <c r="J27" s="64" t="s">
        <v>100</v>
      </c>
      <c r="K27" s="105" t="str">
        <f t="shared" si="0"/>
        <v>NA</v>
      </c>
      <c r="L27" s="105">
        <f>_xlfn.XLOOKUP($K$15,'Allocation Data'!$B:$B,'Allocation Data'!$X:$X, "NA")</f>
        <v>26840</v>
      </c>
      <c r="M27" s="105" t="e">
        <f t="shared" si="1"/>
        <v>#VALUE!</v>
      </c>
      <c r="O27" s="105" t="str">
        <f t="shared" si="3"/>
        <v>NA</v>
      </c>
      <c r="P27" s="117"/>
      <c r="Q27" s="115"/>
      <c r="R27" s="59"/>
      <c r="S27" s="61"/>
      <c r="T27" s="61"/>
      <c r="U27" s="61"/>
    </row>
    <row r="28" spans="1:21" x14ac:dyDescent="0.25">
      <c r="A28" s="57" t="s">
        <v>101</v>
      </c>
      <c r="B28" s="58">
        <f>SUM(B25:B27)</f>
        <v>2312901.13482391</v>
      </c>
      <c r="C28" s="59">
        <f>AVERAGE(C24:C27)</f>
        <v>0.85595193083228605</v>
      </c>
      <c r="D28" s="59"/>
      <c r="E28" s="92"/>
      <c r="F28" s="61" t="s">
        <v>109</v>
      </c>
      <c r="G28" s="62">
        <f>SUM(G24:G27)</f>
        <v>8837.7546696934405</v>
      </c>
      <c r="H28" s="63">
        <f>SUM(H24:H27)</f>
        <v>39.141967127975086</v>
      </c>
      <c r="J28" s="57" t="s">
        <v>101</v>
      </c>
      <c r="K28" s="100">
        <f t="shared" si="0"/>
        <v>2312901.13482391</v>
      </c>
      <c r="L28" s="100">
        <f>SUM(L24:L27)</f>
        <v>3190379</v>
      </c>
      <c r="M28" s="99">
        <f t="shared" si="1"/>
        <v>-877477.86517609004</v>
      </c>
      <c r="O28" s="100">
        <f>SUM(O24:O27)</f>
        <v>8837.7546696934405</v>
      </c>
      <c r="P28" s="100">
        <f>_xlfn.XLOOKUP($K$15,'Allocation Data'!$B:$B,'Allocation Data'!$AH:$AH, "NA")</f>
        <v>5926</v>
      </c>
      <c r="Q28" s="110">
        <f>O28-P28</f>
        <v>2911.7546696934405</v>
      </c>
      <c r="R28" s="59"/>
      <c r="S28" s="61"/>
      <c r="T28" s="61"/>
      <c r="U28" s="61"/>
    </row>
    <row r="29" spans="1:21" x14ac:dyDescent="0.25">
      <c r="A29" s="57"/>
      <c r="B29" s="58"/>
      <c r="C29" s="59"/>
      <c r="D29" s="59"/>
      <c r="E29" s="60"/>
      <c r="F29" s="61"/>
      <c r="G29" s="62"/>
      <c r="H29" s="63"/>
      <c r="J29" s="57"/>
      <c r="K29" s="100"/>
      <c r="L29" s="100"/>
      <c r="M29" s="99"/>
      <c r="O29" s="61"/>
      <c r="P29" s="61"/>
      <c r="Q29" s="84"/>
      <c r="R29" s="59"/>
      <c r="S29" s="61"/>
      <c r="T29" s="61"/>
      <c r="U29" s="61"/>
    </row>
    <row r="30" spans="1:21" ht="15.75" thickBot="1" x14ac:dyDescent="0.3">
      <c r="A30" s="57" t="s">
        <v>124</v>
      </c>
      <c r="B30" s="58">
        <f>'Design Report'!D18</f>
        <v>366934.541780948</v>
      </c>
      <c r="C30" s="59" t="s">
        <v>22</v>
      </c>
      <c r="D30" s="59"/>
      <c r="E30" s="92" t="s">
        <v>18</v>
      </c>
      <c r="F30" s="61" t="s">
        <v>124</v>
      </c>
      <c r="G30" s="62">
        <f>'Design Report'!O18</f>
        <v>2293.3408861309249</v>
      </c>
      <c r="H30" s="63">
        <f>IF(G30 = "NA", "NA", G30/'Design Report'!$C$30)</f>
        <v>10.157090452624171</v>
      </c>
      <c r="J30" s="78" t="s">
        <v>43</v>
      </c>
      <c r="K30" s="106">
        <f>SUM(K28,K22)</f>
        <v>4698625.8917088453</v>
      </c>
      <c r="L30" s="106">
        <f>SUM(L28,L22)</f>
        <v>5992766</v>
      </c>
      <c r="M30" s="106">
        <f t="shared" si="1"/>
        <v>-1294140.1082911547</v>
      </c>
      <c r="N30" s="76"/>
      <c r="O30" s="76"/>
      <c r="P30" s="76"/>
      <c r="Q30" s="111"/>
      <c r="R30" s="61"/>
      <c r="S30" s="61"/>
      <c r="T30" s="61"/>
      <c r="U30" s="61"/>
    </row>
    <row r="31" spans="1:21" ht="15.75" thickTop="1" x14ac:dyDescent="0.25">
      <c r="A31" s="57" t="s">
        <v>118</v>
      </c>
      <c r="B31" s="58">
        <f>'Design Report'!D20</f>
        <v>556306.34211415495</v>
      </c>
      <c r="C31" s="59">
        <f>'Design Report'!E20</f>
        <v>0.4163688902091649</v>
      </c>
      <c r="D31" s="59"/>
      <c r="E31" s="92"/>
      <c r="F31" s="61" t="s">
        <v>118</v>
      </c>
      <c r="G31" s="62">
        <f>'Design Report'!O20</f>
        <v>1390.7658552853873</v>
      </c>
      <c r="H31" s="63">
        <f>IF(G31 = "NA", "NA", G31/'Design Report'!$C$30)</f>
        <v>6.1596314250460047</v>
      </c>
      <c r="J31" s="61"/>
      <c r="K31" s="58"/>
      <c r="L31" s="59"/>
      <c r="O31" s="61"/>
      <c r="P31" s="61"/>
      <c r="Q31" s="61"/>
      <c r="R31" s="61"/>
      <c r="S31" s="61"/>
      <c r="T31" s="61"/>
      <c r="U31" s="61"/>
    </row>
    <row r="32" spans="1:21" x14ac:dyDescent="0.25">
      <c r="A32" s="64" t="s">
        <v>122</v>
      </c>
      <c r="B32" s="65">
        <f>'Design Report'!D19</f>
        <v>1983889.2763213201</v>
      </c>
      <c r="C32" s="66">
        <v>1</v>
      </c>
      <c r="D32" s="59"/>
      <c r="E32" s="92"/>
      <c r="F32" s="67" t="s">
        <v>122</v>
      </c>
      <c r="G32" s="74">
        <f>'Design Report'!O19</f>
        <v>4959.7231908033</v>
      </c>
      <c r="H32" s="63">
        <f>IF(G32 = "NA", "NA", G32/'Design Report'!$C$30)</f>
        <v>21.966362425062936</v>
      </c>
      <c r="J32" s="61"/>
      <c r="K32" s="58"/>
      <c r="L32" s="59"/>
      <c r="O32" s="61"/>
      <c r="P32" s="61"/>
      <c r="Q32" s="61"/>
      <c r="R32" s="61"/>
      <c r="S32" s="61"/>
      <c r="T32" s="61"/>
      <c r="U32" s="61"/>
    </row>
    <row r="33" spans="1:21" x14ac:dyDescent="0.25">
      <c r="A33" s="57" t="s">
        <v>123</v>
      </c>
      <c r="B33" s="58">
        <f>SUM(B30:B32)</f>
        <v>2907130.1602164228</v>
      </c>
      <c r="C33" s="59"/>
      <c r="D33" s="59"/>
      <c r="E33" s="92"/>
      <c r="F33" s="87" t="s">
        <v>123</v>
      </c>
      <c r="G33" s="62">
        <f>SUM(G30:G32)</f>
        <v>8643.8299322196126</v>
      </c>
      <c r="H33" s="88">
        <f>IF(G33 = "NA", "NA", G33/'Design Report'!$C$30)</f>
        <v>38.283084302733116</v>
      </c>
      <c r="J33" s="61"/>
      <c r="K33" s="58"/>
      <c r="L33" s="59"/>
      <c r="O33" s="61"/>
      <c r="P33" s="61"/>
      <c r="Q33" s="61"/>
      <c r="R33" s="61"/>
      <c r="S33" s="61"/>
      <c r="T33" s="61"/>
      <c r="U33" s="61"/>
    </row>
    <row r="34" spans="1:21" x14ac:dyDescent="0.25">
      <c r="A34" s="57"/>
      <c r="B34" s="61"/>
      <c r="C34" s="59"/>
      <c r="D34" s="59"/>
      <c r="E34" s="61"/>
      <c r="F34" s="61"/>
      <c r="G34" s="61"/>
      <c r="H34" s="68"/>
      <c r="J34" s="61"/>
      <c r="K34" s="58"/>
      <c r="L34" s="59"/>
      <c r="O34" s="61"/>
      <c r="P34" s="61"/>
      <c r="Q34" s="61"/>
      <c r="R34" s="61"/>
      <c r="S34" s="61"/>
      <c r="T34" s="61"/>
      <c r="U34" s="61"/>
    </row>
    <row r="35" spans="1:21" ht="15.75" thickBot="1" x14ac:dyDescent="0.3">
      <c r="A35" s="78" t="s">
        <v>43</v>
      </c>
      <c r="B35" s="79">
        <f>SUM(B22,B28,B33)</f>
        <v>7605756.051925268</v>
      </c>
      <c r="C35" s="80">
        <f>AVERAGE(C20,C21,C24:C27)</f>
        <v>0.86098754966043112</v>
      </c>
      <c r="D35" s="75"/>
      <c r="E35" s="76"/>
      <c r="F35" s="81" t="s">
        <v>106</v>
      </c>
      <c r="G35" s="81">
        <f>G28/G22</f>
        <v>4.1651991536561424</v>
      </c>
      <c r="H35" s="82"/>
      <c r="L35" s="59"/>
    </row>
    <row r="36" spans="1:21" ht="15.75" thickTop="1" x14ac:dyDescent="0.25"/>
    <row r="38" spans="1:21" x14ac:dyDescent="0.25">
      <c r="A38" s="89" t="s">
        <v>112</v>
      </c>
      <c r="B38" s="90"/>
      <c r="C38" s="90"/>
      <c r="D38" s="90"/>
      <c r="E38" s="90"/>
      <c r="F38" s="90"/>
      <c r="G38" s="90"/>
      <c r="H38" s="91"/>
    </row>
    <row r="39" spans="1:21" x14ac:dyDescent="0.25">
      <c r="A39" s="89" t="s">
        <v>111</v>
      </c>
      <c r="B39" s="90"/>
      <c r="C39" s="90"/>
      <c r="D39" s="77"/>
      <c r="E39" s="90" t="s">
        <v>105</v>
      </c>
      <c r="F39" s="90"/>
      <c r="G39" s="90"/>
      <c r="H39" s="91"/>
    </row>
    <row r="40" spans="1:21" x14ac:dyDescent="0.25">
      <c r="A40" s="69" t="s">
        <v>5</v>
      </c>
      <c r="B40" s="70" t="s">
        <v>102</v>
      </c>
      <c r="C40" s="71" t="s">
        <v>103</v>
      </c>
      <c r="D40" s="56"/>
      <c r="E40" s="72" t="s">
        <v>110</v>
      </c>
      <c r="F40" s="72" t="s">
        <v>5</v>
      </c>
      <c r="G40" s="72" t="s">
        <v>108</v>
      </c>
      <c r="H40" s="73" t="s">
        <v>104</v>
      </c>
    </row>
    <row r="41" spans="1:21" x14ac:dyDescent="0.25">
      <c r="A41" s="57" t="s">
        <v>94</v>
      </c>
      <c r="B41" s="58">
        <f>IF(OR(B20 = "NA", B4 = "NA"), "NA", B20-B4)</f>
        <v>503818.65720933594</v>
      </c>
      <c r="C41" s="58" t="s">
        <v>22</v>
      </c>
      <c r="D41" s="59"/>
      <c r="E41" s="92" t="s">
        <v>13</v>
      </c>
      <c r="F41" s="61" t="s">
        <v>94</v>
      </c>
      <c r="G41" s="58">
        <f t="shared" ref="G41:H43" si="4">IF(OR(G20 = "NA", G4 = "NA"), "NA", G20-G4)</f>
        <v>251.90932860466796</v>
      </c>
      <c r="H41" s="83">
        <f t="shared" si="4"/>
        <v>1.1261748065276216</v>
      </c>
    </row>
    <row r="42" spans="1:21" x14ac:dyDescent="0.25">
      <c r="A42" s="64" t="s">
        <v>95</v>
      </c>
      <c r="B42" s="65">
        <f>IF(OR(B21 = "NA", B5 = "NA"), "NA", B21-B5)</f>
        <v>1721331.0996756</v>
      </c>
      <c r="C42" s="65" t="s">
        <v>22</v>
      </c>
      <c r="D42" s="59"/>
      <c r="E42" s="92"/>
      <c r="F42" s="67" t="s">
        <v>95</v>
      </c>
      <c r="G42" s="65">
        <f t="shared" si="4"/>
        <v>1721.3310996755999</v>
      </c>
      <c r="H42" s="86">
        <f t="shared" si="4"/>
        <v>7.7428951576542282</v>
      </c>
    </row>
    <row r="43" spans="1:21" x14ac:dyDescent="0.25">
      <c r="A43" s="57" t="s">
        <v>96</v>
      </c>
      <c r="B43" s="58">
        <f>IF(OR(B22 = "NA", B6 = "NA"), "NA", B22-B6)</f>
        <v>2225149.7568849358</v>
      </c>
      <c r="C43" s="58" t="s">
        <v>22</v>
      </c>
      <c r="D43" s="59"/>
      <c r="E43" s="92"/>
      <c r="F43" s="61" t="s">
        <v>43</v>
      </c>
      <c r="G43" s="58">
        <f t="shared" si="4"/>
        <v>1973.2404282802679</v>
      </c>
      <c r="H43" s="84">
        <f t="shared" si="4"/>
        <v>8.8690699641818505</v>
      </c>
    </row>
    <row r="44" spans="1:21" x14ac:dyDescent="0.25">
      <c r="A44" s="57"/>
      <c r="B44" s="58"/>
      <c r="C44" s="58"/>
      <c r="D44" s="59"/>
      <c r="E44" s="61"/>
      <c r="F44" s="61"/>
      <c r="G44" s="58"/>
      <c r="H44" s="84"/>
    </row>
    <row r="45" spans="1:21" x14ac:dyDescent="0.25">
      <c r="A45" s="57" t="s">
        <v>98</v>
      </c>
      <c r="B45" s="58">
        <f>IF(OR(B24 = "NA", B8 = "NA"), "NA", B24-B8)</f>
        <v>1011017.1333485399</v>
      </c>
      <c r="C45" s="58" t="s">
        <v>22</v>
      </c>
      <c r="D45" s="59"/>
      <c r="E45" s="92" t="s">
        <v>14</v>
      </c>
      <c r="F45" s="61" t="s">
        <v>98</v>
      </c>
      <c r="G45" s="58">
        <f t="shared" ref="G45:H48" si="5">IF(OR(G24 = "NA", G8 = "NA"), "NA", G24-G8)</f>
        <v>3033.0514000456196</v>
      </c>
      <c r="H45" s="84">
        <f t="shared" si="5"/>
        <v>14.462318829778845</v>
      </c>
    </row>
    <row r="46" spans="1:21" x14ac:dyDescent="0.25">
      <c r="A46" s="57" t="s">
        <v>97</v>
      </c>
      <c r="B46" s="58">
        <f>IF(OR(B25 = "NA", B9 = "NA"), "NA", B25-B9)</f>
        <v>-682782.86517609004</v>
      </c>
      <c r="C46" s="58" t="s">
        <v>22</v>
      </c>
      <c r="D46" s="59"/>
      <c r="E46" s="92"/>
      <c r="F46" s="61" t="s">
        <v>26</v>
      </c>
      <c r="G46" s="58">
        <f t="shared" si="5"/>
        <v>-1365.5657303521803</v>
      </c>
      <c r="H46" s="84">
        <f t="shared" si="5"/>
        <v>-0.81802738643461481</v>
      </c>
    </row>
    <row r="47" spans="1:21" x14ac:dyDescent="0.25">
      <c r="A47" s="57" t="s">
        <v>99</v>
      </c>
      <c r="B47" s="58" t="str">
        <f>IF(OR(B26 = "NA", B10 = "NA"), "NA", B26-B10)</f>
        <v>NA</v>
      </c>
      <c r="C47" s="58" t="str">
        <f>IF(OR(C26 = "NA", C10 = "NA"), "NA", C26-C10)</f>
        <v>NA</v>
      </c>
      <c r="D47" s="59"/>
      <c r="E47" s="92"/>
      <c r="F47" s="61" t="s">
        <v>81</v>
      </c>
      <c r="G47" s="58" t="str">
        <f t="shared" si="5"/>
        <v>NA</v>
      </c>
      <c r="H47" s="84" t="str">
        <f t="shared" si="5"/>
        <v>NA</v>
      </c>
    </row>
    <row r="48" spans="1:21" x14ac:dyDescent="0.25">
      <c r="A48" s="64" t="s">
        <v>100</v>
      </c>
      <c r="B48" s="65" t="str">
        <f>IF(OR(B27 = "NA", B11 = "NA"), "NA", B27-B11)</f>
        <v>NA</v>
      </c>
      <c r="C48" s="65" t="str">
        <f>IF(OR(C27 = "NA", C11 = "NA"), "NA", C27-C11)</f>
        <v>NA</v>
      </c>
      <c r="D48" s="59"/>
      <c r="E48" s="92"/>
      <c r="F48" s="67" t="s">
        <v>91</v>
      </c>
      <c r="G48" s="65" t="str">
        <f t="shared" si="5"/>
        <v>NA</v>
      </c>
      <c r="H48" s="86" t="str">
        <f t="shared" si="5"/>
        <v>NA</v>
      </c>
    </row>
    <row r="49" spans="1:8" x14ac:dyDescent="0.25">
      <c r="A49" s="57" t="s">
        <v>101</v>
      </c>
      <c r="B49" s="58">
        <f>B28-B12</f>
        <v>-732782.86517609004</v>
      </c>
      <c r="C49" s="58" t="s">
        <v>22</v>
      </c>
      <c r="D49" s="59"/>
      <c r="E49" s="92"/>
      <c r="F49" s="61" t="s">
        <v>109</v>
      </c>
      <c r="G49" s="62">
        <f>G28-G12</f>
        <v>1567.4856696934403</v>
      </c>
      <c r="H49" s="85">
        <f>H28-H12</f>
        <v>17.480893360765169</v>
      </c>
    </row>
    <row r="50" spans="1:8" x14ac:dyDescent="0.25">
      <c r="A50" s="57"/>
      <c r="B50" s="58"/>
      <c r="C50" s="58"/>
      <c r="D50" s="59"/>
      <c r="E50" s="60"/>
      <c r="F50" s="61"/>
      <c r="G50" s="62"/>
      <c r="H50" s="85"/>
    </row>
    <row r="51" spans="1:8" ht="15.75" thickBot="1" x14ac:dyDescent="0.3">
      <c r="A51" s="78" t="s">
        <v>43</v>
      </c>
      <c r="B51" s="79">
        <f>B35-B14</f>
        <v>4399497.051925268</v>
      </c>
      <c r="C51" s="80">
        <f>C35-C14</f>
        <v>0.33918953523826256</v>
      </c>
      <c r="D51" s="75"/>
      <c r="E51" s="76"/>
      <c r="F51" s="81" t="s">
        <v>106</v>
      </c>
      <c r="G51" s="81">
        <f>G35-G14</f>
        <v>-44.770433014778511</v>
      </c>
      <c r="H51" s="82"/>
    </row>
    <row r="52" spans="1:8" ht="15.75" thickTop="1" x14ac:dyDescent="0.25"/>
  </sheetData>
  <mergeCells count="24">
    <mergeCell ref="P20:P21"/>
    <mergeCell ref="Q20:Q21"/>
    <mergeCell ref="P24:P27"/>
    <mergeCell ref="Q24:Q27"/>
    <mergeCell ref="J17:Q17"/>
    <mergeCell ref="K18:M18"/>
    <mergeCell ref="O18:Q18"/>
    <mergeCell ref="K15:M15"/>
    <mergeCell ref="A38:H38"/>
    <mergeCell ref="A39:C39"/>
    <mergeCell ref="E39:H39"/>
    <mergeCell ref="E41:E43"/>
    <mergeCell ref="E45:E49"/>
    <mergeCell ref="A1:H1"/>
    <mergeCell ref="A17:H17"/>
    <mergeCell ref="E4:E6"/>
    <mergeCell ref="E8:E12"/>
    <mergeCell ref="E30:E33"/>
    <mergeCell ref="E20:E22"/>
    <mergeCell ref="E24:E28"/>
    <mergeCell ref="A18:C18"/>
    <mergeCell ref="A2:C2"/>
    <mergeCell ref="E2:H2"/>
    <mergeCell ref="E18:H18"/>
  </mergeCell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1EABCF2-5AC6-471A-B051-D2AC55956935}">
          <x14:formula1>
            <xm:f>'Allocation Data'!$B$2:$B$25</xm:f>
          </x14:formula1>
          <xm:sqref>K15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67E49-ABF4-4D5D-A0C5-423D6D1930B5}">
  <dimension ref="B2:Q28"/>
  <sheetViews>
    <sheetView workbookViewId="0">
      <selection activeCell="E13" sqref="E13"/>
    </sheetView>
  </sheetViews>
  <sheetFormatPr defaultRowHeight="15" x14ac:dyDescent="0.25"/>
  <cols>
    <col min="2" max="2" width="23.42578125" customWidth="1"/>
    <col min="3" max="3" width="11.5703125" bestFit="1" customWidth="1"/>
    <col min="4" max="4" width="10.140625" bestFit="1" customWidth="1"/>
    <col min="5" max="5" width="11.5703125" style="32" bestFit="1" customWidth="1"/>
    <col min="6" max="6" width="13.42578125" customWidth="1"/>
    <col min="7" max="7" width="7.85546875" bestFit="1" customWidth="1"/>
    <col min="8" max="8" width="17.85546875" customWidth="1"/>
    <col min="9" max="9" width="16.42578125" customWidth="1"/>
    <col min="10" max="10" width="13.42578125" style="38" customWidth="1"/>
    <col min="11" max="11" width="11.28515625" style="38" customWidth="1"/>
    <col min="12" max="12" width="12.7109375" customWidth="1"/>
    <col min="13" max="13" width="11.5703125" style="32" bestFit="1" customWidth="1"/>
    <col min="14" max="14" width="17.7109375" customWidth="1"/>
    <col min="15" max="15" width="15" style="38" customWidth="1"/>
    <col min="16" max="16" width="15" customWidth="1"/>
    <col min="17" max="17" width="13.85546875" style="38" customWidth="1"/>
  </cols>
  <sheetData>
    <row r="2" spans="2:17" x14ac:dyDescent="0.25">
      <c r="L2" s="93" t="s">
        <v>45</v>
      </c>
      <c r="M2" s="93"/>
      <c r="N2" s="93"/>
      <c r="O2" s="93"/>
      <c r="P2" s="93"/>
      <c r="Q2" s="93"/>
    </row>
    <row r="3" spans="2:17" x14ac:dyDescent="0.25">
      <c r="B3" s="27"/>
      <c r="C3" s="94" t="s">
        <v>0</v>
      </c>
      <c r="D3" s="95"/>
      <c r="E3" s="95"/>
      <c r="F3" s="95"/>
      <c r="G3" s="96"/>
      <c r="H3" s="94" t="s">
        <v>1</v>
      </c>
      <c r="I3" s="95"/>
      <c r="J3" s="95"/>
      <c r="K3" s="96"/>
      <c r="L3" s="94" t="s">
        <v>2</v>
      </c>
      <c r="M3" s="96"/>
      <c r="N3" s="2" t="s">
        <v>3</v>
      </c>
      <c r="O3" s="97" t="s">
        <v>4</v>
      </c>
      <c r="P3" s="97"/>
      <c r="Q3" s="52"/>
    </row>
    <row r="4" spans="2:17" ht="30.75" thickBot="1" x14ac:dyDescent="0.3">
      <c r="B4" s="26" t="s">
        <v>5</v>
      </c>
      <c r="C4" s="3" t="s">
        <v>6</v>
      </c>
      <c r="D4" s="3" t="s">
        <v>7</v>
      </c>
      <c r="E4" s="33" t="s">
        <v>8</v>
      </c>
      <c r="F4" s="3" t="s">
        <v>9</v>
      </c>
      <c r="G4" s="11" t="s">
        <v>10</v>
      </c>
      <c r="H4" s="20" t="s">
        <v>11</v>
      </c>
      <c r="I4" s="3" t="s">
        <v>12</v>
      </c>
      <c r="J4" s="39" t="s">
        <v>13</v>
      </c>
      <c r="K4" s="48" t="s">
        <v>14</v>
      </c>
      <c r="L4" s="20" t="s">
        <v>15</v>
      </c>
      <c r="M4" s="44" t="s">
        <v>16</v>
      </c>
      <c r="N4" s="3" t="s">
        <v>17</v>
      </c>
      <c r="O4" s="48" t="s">
        <v>18</v>
      </c>
      <c r="P4" s="3" t="s">
        <v>19</v>
      </c>
      <c r="Q4" s="48" t="s">
        <v>20</v>
      </c>
    </row>
    <row r="5" spans="2:17" x14ac:dyDescent="0.25">
      <c r="B5" s="28" t="s">
        <v>21</v>
      </c>
      <c r="C5" s="12" t="s">
        <v>22</v>
      </c>
      <c r="D5" s="12">
        <f>_xlfn.XLOOKUP("SF_SF",'Parcel Data'!$A:$A, 'Parcel Data'!$B:$B, "NA")</f>
        <v>24014</v>
      </c>
      <c r="E5" s="34">
        <f>IF(_xlfn.XLOOKUP("SF_SF",'Parcel Data'!$A:$A,'Parcel Data'!$B:$B, "NA")="NA", "NA", _xlfn.XLOOKUP("SF_SF",'Parcel Data'!$A:$A,'Parcel Data'!$B:$B, "NA") / _xlfn.XLOOKUP("SF_SF",'Parcel Data'!$A:$A,'Parcel Data'!$C:$C, "NA"))</f>
        <v>0.31592512491579777</v>
      </c>
      <c r="F5" s="14" t="str">
        <f>IF(C5="NA", "NA", C5/$C$23)</f>
        <v>NA</v>
      </c>
      <c r="G5" s="14">
        <f>IF(D5="NA", "NA", D5/$D$23)</f>
        <v>6.054722129129159E-3</v>
      </c>
      <c r="H5" s="21"/>
      <c r="I5" s="13"/>
      <c r="J5" s="40">
        <f>D5/L5</f>
        <v>12.007</v>
      </c>
      <c r="K5" s="49" t="s">
        <v>22</v>
      </c>
      <c r="L5" s="24">
        <v>2000</v>
      </c>
      <c r="M5" s="45">
        <f>J5/$C$28</f>
        <v>4.2697225438175702E-2</v>
      </c>
      <c r="N5" s="1" t="s">
        <v>22</v>
      </c>
      <c r="O5" s="49" t="s">
        <v>22</v>
      </c>
      <c r="P5" s="1" t="s">
        <v>22</v>
      </c>
      <c r="Q5" s="49" t="s">
        <v>22</v>
      </c>
    </row>
    <row r="6" spans="2:17" x14ac:dyDescent="0.25">
      <c r="B6" s="29" t="s">
        <v>23</v>
      </c>
      <c r="C6" s="5" t="s">
        <v>22</v>
      </c>
      <c r="D6" s="5">
        <f>_xlfn.XLOOKUP("MF_SF",'Parcel Data'!$A:$A, 'Parcel Data'!$B:$B, "NA")</f>
        <v>136561</v>
      </c>
      <c r="E6" s="35">
        <f>IF(_xlfn.XLOOKUP("MF_SF",'Parcel Data'!$A:$A,'Parcel Data'!$B:$B, "NA")="NA", "NA", _xlfn.XLOOKUP("MF_SF",'Parcel Data'!$A:$A,'Parcel Data'!$B:$B, "NA") / _xlfn.XLOOKUP("MF_SF",'Parcel Data'!$A:$A,'Parcel Data'!$C:$C, "NA"))</f>
        <v>0.95031088747812864</v>
      </c>
      <c r="F6" s="7" t="str">
        <f>IF(C6="NA", "NA", C6/$C$23)</f>
        <v>NA</v>
      </c>
      <c r="G6" s="16">
        <f>IF(D6="NA", "NA", D6/$D$23)</f>
        <v>3.4431536132089907E-2</v>
      </c>
      <c r="H6" s="22"/>
      <c r="I6" s="6"/>
      <c r="J6" s="41">
        <f>D6/L6</f>
        <v>136.56100000000001</v>
      </c>
      <c r="K6" s="50" t="s">
        <v>22</v>
      </c>
      <c r="L6" s="4">
        <v>1000</v>
      </c>
      <c r="M6" s="46">
        <f>J6/$C$28</f>
        <v>0.48561470834202652</v>
      </c>
      <c r="N6" s="6" t="s">
        <v>22</v>
      </c>
      <c r="O6" s="50" t="s">
        <v>22</v>
      </c>
      <c r="P6" s="6" t="s">
        <v>22</v>
      </c>
      <c r="Q6" s="50" t="s">
        <v>22</v>
      </c>
    </row>
    <row r="7" spans="2:17" x14ac:dyDescent="0.25">
      <c r="B7" s="28" t="s">
        <v>24</v>
      </c>
      <c r="C7" s="12">
        <f>SUM(C5:C6)</f>
        <v>0</v>
      </c>
      <c r="D7" s="12">
        <f>SUM(D5:D6)</f>
        <v>160575</v>
      </c>
      <c r="E7" s="34">
        <f>AVERAGE(E5:E6)</f>
        <v>0.63311800619696323</v>
      </c>
      <c r="F7" s="14">
        <f>SUM(F5:F6)</f>
        <v>0</v>
      </c>
      <c r="G7" s="15">
        <f>SUM(G5:G6)</f>
        <v>4.0486258261219064E-2</v>
      </c>
      <c r="H7" s="21">
        <f>SUM(H5:H6)</f>
        <v>0</v>
      </c>
      <c r="I7" s="13">
        <f>SUM(I5:I6)</f>
        <v>0</v>
      </c>
      <c r="J7" s="40">
        <f>SUM(J5:J6)</f>
        <v>148.56800000000001</v>
      </c>
      <c r="K7" s="49" t="s">
        <v>22</v>
      </c>
      <c r="L7" s="24">
        <f>AVERAGE(L5:L6)</f>
        <v>1500</v>
      </c>
      <c r="M7" s="45">
        <f>SUM(M5:M6)</f>
        <v>0.52831193378020225</v>
      </c>
      <c r="N7" s="1" t="s">
        <v>22</v>
      </c>
      <c r="O7" s="49" t="s">
        <v>22</v>
      </c>
      <c r="P7" s="1" t="s">
        <v>22</v>
      </c>
      <c r="Q7" s="49" t="s">
        <v>22</v>
      </c>
    </row>
    <row r="8" spans="2:17" x14ac:dyDescent="0.25">
      <c r="B8" s="28"/>
      <c r="C8" s="13"/>
      <c r="D8" s="13"/>
      <c r="E8" s="34"/>
      <c r="F8" s="13"/>
      <c r="G8" s="17"/>
      <c r="H8" s="21"/>
      <c r="I8" s="13"/>
      <c r="J8" s="40"/>
      <c r="K8" s="49"/>
      <c r="L8" s="21"/>
      <c r="M8" s="45"/>
      <c r="N8" s="1"/>
      <c r="O8" s="49"/>
      <c r="P8" s="1"/>
      <c r="Q8" s="49"/>
    </row>
    <row r="9" spans="2:17" x14ac:dyDescent="0.25">
      <c r="B9" s="28" t="s">
        <v>25</v>
      </c>
      <c r="C9" s="12" t="s">
        <v>22</v>
      </c>
      <c r="D9" s="12">
        <f>_xlfn.XLOOKUP("Off_SF",'Parcel Data'!$A:$A, 'Parcel Data'!$B:$B, "NA")</f>
        <v>392967</v>
      </c>
      <c r="E9" s="34">
        <f>IF(_xlfn.XLOOKUP("Off_SF",'Parcel Data'!$A:$A,'Parcel Data'!$B:$B, "NA")="NA", "NA", _xlfn.XLOOKUP("Off_SF",'Parcel Data'!$A:$A,'Parcel Data'!$B:$B, "NA") / _xlfn.XLOOKUP("Off_SF",'Parcel Data'!$A:$A,'Parcel Data'!$C:$C, "NA"))</f>
        <v>0.73501292386975681</v>
      </c>
      <c r="F9" s="14" t="str">
        <f>IF(C9="NA", "NA", C9/$C$23)</f>
        <v>NA</v>
      </c>
      <c r="G9" s="14">
        <f>IF(D9="NA", "NA", D9/$D$23)</f>
        <v>9.9079952982322736E-2</v>
      </c>
      <c r="H9" s="21" t="s">
        <v>22</v>
      </c>
      <c r="I9" s="13" t="s">
        <v>22</v>
      </c>
      <c r="J9" s="40" t="s">
        <v>22</v>
      </c>
      <c r="K9" s="49">
        <f t="shared" ref="K9:K10" si="0">IF(D9 = "NA", "NA", (D9/1000)*N9)</f>
        <v>1178.9009999999998</v>
      </c>
      <c r="L9" s="21" t="s">
        <v>22</v>
      </c>
      <c r="M9" s="45" t="s">
        <v>22</v>
      </c>
      <c r="N9" s="1">
        <v>3</v>
      </c>
      <c r="O9" s="49" t="s">
        <v>22</v>
      </c>
      <c r="P9" s="1" t="s">
        <v>22</v>
      </c>
      <c r="Q9" s="49" t="s">
        <v>22</v>
      </c>
    </row>
    <row r="10" spans="2:17" x14ac:dyDescent="0.25">
      <c r="B10" s="28" t="s">
        <v>26</v>
      </c>
      <c r="C10" s="12" t="s">
        <v>22</v>
      </c>
      <c r="D10" s="12">
        <f>_xlfn.XLOOKUP("Ret_SF",'Parcel Data'!$A:$A, 'Parcel Data'!$B:$B, "NA")</f>
        <v>2995684</v>
      </c>
      <c r="E10" s="34">
        <f>IF(_xlfn.XLOOKUP("Ret_SF",'Parcel Data'!$A:$A,'Parcel Data'!$B:$B, "NA")="NA", "NA", _xlfn.XLOOKUP("Ret_SF",'Parcel Data'!$A:$A,'Parcel Data'!$B:$B, "NA") / _xlfn.XLOOKUP("Ret_SF",'Parcel Data'!$A:$A,'Parcel Data'!$C:$C, "NA"))</f>
        <v>0.26394070076597642</v>
      </c>
      <c r="F10" s="14" t="str">
        <f>IF(C10="NA", "NA", C10/$C$23)</f>
        <v>NA</v>
      </c>
      <c r="G10" s="14">
        <f>IF(D10="NA", "NA", D10/$D$23)</f>
        <v>0.75531082729566734</v>
      </c>
      <c r="H10" s="21" t="s">
        <v>22</v>
      </c>
      <c r="I10" s="13" t="s">
        <v>22</v>
      </c>
      <c r="J10" s="40" t="s">
        <v>22</v>
      </c>
      <c r="K10" s="49">
        <f t="shared" si="0"/>
        <v>5991.3680000000004</v>
      </c>
      <c r="L10" s="21" t="s">
        <v>22</v>
      </c>
      <c r="M10" s="45" t="s">
        <v>22</v>
      </c>
      <c r="N10" s="1">
        <v>2</v>
      </c>
      <c r="O10" s="49" t="s">
        <v>22</v>
      </c>
      <c r="P10" s="1" t="s">
        <v>22</v>
      </c>
      <c r="Q10" s="49" t="s">
        <v>22</v>
      </c>
    </row>
    <row r="11" spans="2:17" x14ac:dyDescent="0.25">
      <c r="B11" s="28" t="s">
        <v>81</v>
      </c>
      <c r="C11" s="12" t="str">
        <f>_xlfn.XLOOKUP("Hotel Footprint Area",'City Engine Data'!$A:$A,'City Engine Data'!$D:$D, "NA")</f>
        <v>NA</v>
      </c>
      <c r="D11" s="12">
        <f>_xlfn.XLOOKUP("Hot_SF",'Parcel Data'!$A:$A, 'Parcel Data'!$B:$B, "NA")</f>
        <v>50000</v>
      </c>
      <c r="E11" s="34">
        <f>IF(_xlfn.XLOOKUP("Hot_SF",'Parcel Data'!$A:$A,'Parcel Data'!$B:$B, "NA")="NA", "NA", _xlfn.XLOOKUP("Hot_SF",'Parcel Data'!$A:$A,'Parcel Data'!$B:$B, "NA") / _xlfn.XLOOKUP("Hot_SF",'Parcel Data'!$A:$A,'Parcel Data'!$C:$C, "NA"))</f>
        <v>0.34380043508118335</v>
      </c>
      <c r="F11" s="14" t="str">
        <f>IF(C11="NA", "NA", C11/$C$23)</f>
        <v>NA</v>
      </c>
      <c r="G11" s="14">
        <f>IF(D11="NA", "NA", D11/$D$23)</f>
        <v>1.2606650556194634E-2</v>
      </c>
      <c r="H11" s="21"/>
      <c r="I11" s="13"/>
      <c r="J11" s="40"/>
      <c r="K11" s="49">
        <f>IF(D11 = "NA", "NA", (D11/1000)*N11)</f>
        <v>100</v>
      </c>
      <c r="L11" s="21"/>
      <c r="M11" s="45"/>
      <c r="N11" s="1">
        <v>2</v>
      </c>
      <c r="O11" s="49"/>
      <c r="P11" s="1"/>
      <c r="Q11" s="49"/>
    </row>
    <row r="12" spans="2:17" x14ac:dyDescent="0.25">
      <c r="B12" s="29" t="s">
        <v>91</v>
      </c>
      <c r="C12" s="5" t="str">
        <f>_xlfn.XLOOKUP("Institutional Family Footprint Area",'City Engine Data'!$A:$A,'City Engine Data'!$D:$D, "NA")</f>
        <v>NA</v>
      </c>
      <c r="D12" s="5" t="str">
        <f>_xlfn.XLOOKUP("Oth_SF",'Parcel Data'!$A:$A, 'Parcel Data'!$B:$B, "NA")</f>
        <v>NA</v>
      </c>
      <c r="E12" s="35" t="str">
        <f>IF(_xlfn.XLOOKUP("Institutional Area", 'City Engine Data'!$A:$A, 'City Engine Data'!$D:$D, "NA")  = "NA", "NA", _xlfn.XLOOKUP("Institutional Area", 'City Engine Data'!$A:$A, 'City Engine Data'!$D:$D, "NA") / _xlfn.XLOOKUP("Institutional Parcel Area", 'City Engine Data'!$A:$A,'City Engine Data'!$D:$D, "NA"))</f>
        <v>NA</v>
      </c>
      <c r="F12" s="7" t="str">
        <f>IF(C12="NA", "NA", C12/$C$23)</f>
        <v>NA</v>
      </c>
      <c r="G12" s="7" t="str">
        <f>IF(D12="NA", "NA", D12/$C$23)</f>
        <v>NA</v>
      </c>
      <c r="H12" s="22" t="s">
        <v>22</v>
      </c>
      <c r="I12" s="6" t="s">
        <v>22</v>
      </c>
      <c r="J12" s="41" t="s">
        <v>22</v>
      </c>
      <c r="K12" s="50" t="str">
        <f>IF(D12 = "NA", "NA", (D12/1000)*N12)</f>
        <v>NA</v>
      </c>
      <c r="L12" s="22" t="s">
        <v>22</v>
      </c>
      <c r="M12" s="46" t="s">
        <v>22</v>
      </c>
      <c r="N12" s="6">
        <v>2</v>
      </c>
      <c r="O12" s="50" t="s">
        <v>22</v>
      </c>
      <c r="P12" s="6" t="s">
        <v>22</v>
      </c>
      <c r="Q12" s="50" t="s">
        <v>22</v>
      </c>
    </row>
    <row r="13" spans="2:17" ht="15.75" thickBot="1" x14ac:dyDescent="0.3">
      <c r="B13" s="30" t="s">
        <v>29</v>
      </c>
      <c r="C13" s="8">
        <f>SUM(C9:C12)</f>
        <v>0</v>
      </c>
      <c r="D13" s="8">
        <f>SUM(D9:D12)</f>
        <v>3438651</v>
      </c>
      <c r="E13" s="36">
        <f>AVERAGE(E9:E12)</f>
        <v>0.44758468657230549</v>
      </c>
      <c r="F13" s="10">
        <f>SUM(F9:F12)</f>
        <v>0</v>
      </c>
      <c r="G13" s="18">
        <f>SUM(G9:G12)</f>
        <v>0.86699743083418468</v>
      </c>
      <c r="H13" s="23" t="s">
        <v>22</v>
      </c>
      <c r="I13" s="9" t="s">
        <v>22</v>
      </c>
      <c r="J13" s="42" t="s">
        <v>22</v>
      </c>
      <c r="K13" s="51">
        <f>SUM(K9:K12)</f>
        <v>7270.2690000000002</v>
      </c>
      <c r="L13" s="23" t="s">
        <v>22</v>
      </c>
      <c r="M13" s="47" t="s">
        <v>22</v>
      </c>
      <c r="N13" s="9">
        <f>AVERAGE(N9:N12)</f>
        <v>2.25</v>
      </c>
      <c r="O13" s="51" t="s">
        <v>22</v>
      </c>
      <c r="P13" s="9" t="s">
        <v>22</v>
      </c>
      <c r="Q13" s="54" t="s">
        <v>22</v>
      </c>
    </row>
    <row r="14" spans="2:17" ht="15.75" thickTop="1" x14ac:dyDescent="0.25">
      <c r="B14" s="28" t="s">
        <v>30</v>
      </c>
      <c r="C14" s="12">
        <f>C13+C7</f>
        <v>0</v>
      </c>
      <c r="D14" s="12">
        <f>SUM(D13,D7)</f>
        <v>3599226</v>
      </c>
      <c r="E14" s="34">
        <f>AVERAGE(E13,E7)</f>
        <v>0.54035134638463433</v>
      </c>
      <c r="F14" s="14">
        <f>SUM(F13,F7)</f>
        <v>0</v>
      </c>
      <c r="G14" s="15">
        <f>SUM(G13,G7)</f>
        <v>0.90748368909540378</v>
      </c>
      <c r="H14" s="21" t="s">
        <v>22</v>
      </c>
      <c r="I14" s="13" t="s">
        <v>22</v>
      </c>
      <c r="J14" s="40" t="s">
        <v>22</v>
      </c>
      <c r="K14" s="49" t="s">
        <v>22</v>
      </c>
      <c r="L14" s="21"/>
      <c r="M14" s="45"/>
      <c r="N14" s="1"/>
      <c r="O14" s="43" t="s">
        <v>22</v>
      </c>
      <c r="P14" s="1" t="s">
        <v>22</v>
      </c>
      <c r="Q14" s="49"/>
    </row>
    <row r="15" spans="2:17" x14ac:dyDescent="0.25">
      <c r="B15" s="28"/>
      <c r="C15" s="13"/>
      <c r="D15" s="13"/>
      <c r="E15" s="34"/>
      <c r="F15" s="13"/>
      <c r="G15" s="17"/>
      <c r="H15" s="21"/>
      <c r="I15" s="13"/>
      <c r="J15" s="40"/>
      <c r="K15" s="49"/>
      <c r="L15" s="21"/>
      <c r="M15" s="45"/>
      <c r="N15" s="1"/>
      <c r="O15" s="43"/>
      <c r="P15" s="1"/>
      <c r="Q15" s="49"/>
    </row>
    <row r="16" spans="2:17" ht="30" x14ac:dyDescent="0.25">
      <c r="B16" s="28" t="s">
        <v>31</v>
      </c>
      <c r="C16" s="12" t="s">
        <v>22</v>
      </c>
      <c r="D16" s="12" t="str">
        <f>C16</f>
        <v>NA</v>
      </c>
      <c r="E16" s="34" t="s">
        <v>22</v>
      </c>
      <c r="F16" s="14" t="str">
        <f>IF(C16="NA", "NA", C16/$C$23)</f>
        <v>NA</v>
      </c>
      <c r="G16" s="14" t="str">
        <f>IF(D16="NA", "NA", D16/$D$23)</f>
        <v>NA</v>
      </c>
      <c r="H16" s="21"/>
      <c r="I16" s="13"/>
      <c r="J16" s="40" t="s">
        <v>32</v>
      </c>
      <c r="K16" s="49">
        <f>SUM(J7,K13)</f>
        <v>7418.8370000000004</v>
      </c>
      <c r="L16" s="21"/>
      <c r="M16" s="45"/>
      <c r="N16" s="1"/>
      <c r="O16" s="43" t="s">
        <v>22</v>
      </c>
      <c r="P16" s="1" t="s">
        <v>22</v>
      </c>
      <c r="Q16" s="49"/>
    </row>
    <row r="17" spans="2:17" ht="30" x14ac:dyDescent="0.25">
      <c r="B17" s="28" t="s">
        <v>33</v>
      </c>
      <c r="C17" s="12">
        <f>_xlfn.XLOOKUP("On Street Parking Area",'City Engine Data'!A:A,'City Engine Data'!D:D, "NA")</f>
        <v>366934.541780948</v>
      </c>
      <c r="D17" s="12">
        <f>C17</f>
        <v>366934.541780948</v>
      </c>
      <c r="E17" s="34" t="s">
        <v>22</v>
      </c>
      <c r="F17" s="14">
        <f>IF(C17="NA", "NA", C17/$C$23)</f>
        <v>1</v>
      </c>
      <c r="G17" s="14">
        <f t="shared" ref="G17:G20" si="1">IF(D17="NA", "NA", D17/$D$23)</f>
        <v>9.2516310904596222E-2</v>
      </c>
      <c r="H17" s="21"/>
      <c r="I17" s="13"/>
      <c r="J17" s="40" t="s">
        <v>34</v>
      </c>
      <c r="K17" s="45">
        <f>(K13/J7)</f>
        <v>48.935632168434651</v>
      </c>
      <c r="L17" s="21"/>
      <c r="M17" s="45"/>
      <c r="N17" s="1"/>
      <c r="O17" s="43">
        <f>IF(C17 = "NA", "NA", C17/P17)</f>
        <v>2293.3408861309249</v>
      </c>
      <c r="P17" s="1">
        <v>160</v>
      </c>
      <c r="Q17" s="49"/>
    </row>
    <row r="18" spans="2:17" x14ac:dyDescent="0.25">
      <c r="B18" s="28" t="s">
        <v>35</v>
      </c>
      <c r="C18" s="12" t="s">
        <v>22</v>
      </c>
      <c r="D18" s="12" t="s">
        <v>22</v>
      </c>
      <c r="E18" s="34" t="s">
        <v>22</v>
      </c>
      <c r="F18" s="14" t="str">
        <f>IF(C18="NA", "NA", C18/$C$23)</f>
        <v>NA</v>
      </c>
      <c r="G18" s="14" t="str">
        <f t="shared" si="1"/>
        <v>NA</v>
      </c>
      <c r="H18" s="21"/>
      <c r="I18" s="13"/>
      <c r="J18" s="40"/>
      <c r="K18" s="49"/>
      <c r="L18" s="21"/>
      <c r="M18" s="45"/>
      <c r="N18" s="1"/>
      <c r="O18" s="43" t="str">
        <f>IF(D18 = "NA", "NA", D18/P18)</f>
        <v>NA</v>
      </c>
      <c r="P18" s="1">
        <v>400</v>
      </c>
      <c r="Q18" s="49"/>
    </row>
    <row r="19" spans="2:17" x14ac:dyDescent="0.25">
      <c r="B19" s="28" t="s">
        <v>36</v>
      </c>
      <c r="C19" s="12" t="s">
        <v>22</v>
      </c>
      <c r="D19" s="12" t="str">
        <f>C19</f>
        <v>NA</v>
      </c>
      <c r="E19" s="34" t="s">
        <v>22</v>
      </c>
      <c r="F19" s="14" t="str">
        <f>IF(C19="NA", "NA", C19/$C$23)</f>
        <v>NA</v>
      </c>
      <c r="G19" s="14" t="str">
        <f t="shared" si="1"/>
        <v>NA</v>
      </c>
      <c r="H19" s="21"/>
      <c r="I19" s="13"/>
      <c r="J19" s="40"/>
      <c r="K19" s="49"/>
      <c r="L19" s="21"/>
      <c r="M19" s="45"/>
      <c r="N19" s="1"/>
      <c r="O19" s="43" t="s">
        <v>22</v>
      </c>
      <c r="P19" s="1" t="s">
        <v>22</v>
      </c>
      <c r="Q19" s="49" t="str">
        <f>IF(D19 = "NA", "NA", D19/K16)</f>
        <v>NA</v>
      </c>
    </row>
    <row r="20" spans="2:17" x14ac:dyDescent="0.25">
      <c r="B20" s="29" t="s">
        <v>37</v>
      </c>
      <c r="C20" s="5" t="str">
        <f>_xlfn.XLOOKUP("Total Retention Area",'City Engine Data'!$A:$A,'City Engine Data'!$D:$D,"NA")</f>
        <v>NA</v>
      </c>
      <c r="D20" s="5" t="str">
        <f>C20</f>
        <v>NA</v>
      </c>
      <c r="E20" s="35" t="s">
        <v>22</v>
      </c>
      <c r="F20" s="7" t="str">
        <f>IF(C20="NA", "NA", C20/$C$23)</f>
        <v>NA</v>
      </c>
      <c r="G20" s="16" t="str">
        <f t="shared" si="1"/>
        <v>NA</v>
      </c>
      <c r="H20" s="22"/>
      <c r="I20" s="6"/>
      <c r="J20" s="41"/>
      <c r="K20" s="50"/>
      <c r="L20" s="22"/>
      <c r="M20" s="46"/>
      <c r="N20" s="6"/>
      <c r="O20" s="41" t="s">
        <v>22</v>
      </c>
      <c r="P20" s="6" t="s">
        <v>22</v>
      </c>
      <c r="Q20" s="50"/>
    </row>
    <row r="21" spans="2:17" x14ac:dyDescent="0.25">
      <c r="B21" s="28" t="s">
        <v>38</v>
      </c>
      <c r="C21" s="12">
        <f>SUM(C16:C20)</f>
        <v>366934.541780948</v>
      </c>
      <c r="D21" s="12">
        <f>SUM(D16:D20)</f>
        <v>366934.541780948</v>
      </c>
      <c r="E21" s="34">
        <f>SUM(E16:E20)</f>
        <v>0</v>
      </c>
      <c r="F21" s="14">
        <f>SUM(F16:F20)</f>
        <v>1</v>
      </c>
      <c r="G21" s="15">
        <f>SUM(G16:G20)</f>
        <v>9.2516310904596222E-2</v>
      </c>
      <c r="H21" s="21"/>
      <c r="I21" s="13"/>
      <c r="J21" s="40"/>
      <c r="K21" s="49"/>
      <c r="L21" s="21"/>
      <c r="M21" s="45"/>
      <c r="N21" s="1"/>
      <c r="O21" s="43">
        <f>SUM(O17:O18)</f>
        <v>2293.3408861309249</v>
      </c>
      <c r="P21" s="1">
        <f>AVERAGE(P18,P17)</f>
        <v>280</v>
      </c>
      <c r="Q21" s="49"/>
    </row>
    <row r="22" spans="2:17" ht="30" x14ac:dyDescent="0.25">
      <c r="B22" s="28"/>
      <c r="C22" s="13"/>
      <c r="D22" s="13"/>
      <c r="E22" s="34"/>
      <c r="F22" s="13"/>
      <c r="G22" s="17"/>
      <c r="H22" s="21"/>
      <c r="I22" s="13"/>
      <c r="J22" s="40"/>
      <c r="K22" s="49"/>
      <c r="L22" s="21"/>
      <c r="M22" s="45"/>
      <c r="N22" s="1"/>
      <c r="O22" s="43" t="s">
        <v>39</v>
      </c>
      <c r="P22" s="1">
        <f>O21/(D14/1000)</f>
        <v>0.63717612790386735</v>
      </c>
      <c r="Q22" s="49"/>
    </row>
    <row r="23" spans="2:17" ht="30" x14ac:dyDescent="0.25">
      <c r="B23" s="28" t="s">
        <v>40</v>
      </c>
      <c r="C23" s="12">
        <f>C21+C14</f>
        <v>366934.541780948</v>
      </c>
      <c r="D23" s="12">
        <f>SUM(D21,D14)</f>
        <v>3966160.5417809482</v>
      </c>
      <c r="E23" s="34">
        <f>AVERAGE(E21,E14)</f>
        <v>0.27017567319231717</v>
      </c>
      <c r="F23" s="14">
        <f>SUM(F21,F14)</f>
        <v>1</v>
      </c>
      <c r="G23" s="15">
        <f>SUM(G21,G14)</f>
        <v>1</v>
      </c>
      <c r="H23" s="21"/>
      <c r="I23" s="13"/>
      <c r="J23" s="40"/>
      <c r="K23" s="49"/>
      <c r="L23" s="21"/>
      <c r="M23" s="45"/>
      <c r="N23" s="1"/>
      <c r="O23" s="43" t="s">
        <v>41</v>
      </c>
      <c r="P23" s="1">
        <f>O21/K16</f>
        <v>0.30912404277529276</v>
      </c>
      <c r="Q23" s="49"/>
    </row>
    <row r="24" spans="2:17" x14ac:dyDescent="0.25">
      <c r="B24" s="28"/>
      <c r="C24" s="13"/>
      <c r="D24" s="13"/>
      <c r="E24" s="34"/>
      <c r="F24" s="13"/>
      <c r="G24" s="17"/>
      <c r="H24" s="21"/>
      <c r="I24" s="13"/>
      <c r="J24" s="40"/>
      <c r="K24" s="49"/>
      <c r="L24" s="21"/>
      <c r="M24" s="45"/>
      <c r="N24" s="1"/>
      <c r="O24" s="43"/>
      <c r="P24" s="1"/>
      <c r="Q24" s="49"/>
    </row>
    <row r="25" spans="2:17" x14ac:dyDescent="0.25">
      <c r="B25" s="28" t="s">
        <v>42</v>
      </c>
      <c r="C25" s="12" t="str">
        <f>_xlfn.XLOOKUP("Undevelopable Area",'City Engine Data'!A:A,'City Engine Data'!D:D, "NA")</f>
        <v>NA</v>
      </c>
      <c r="D25" s="12" t="str">
        <f>_xlfn.XLOOKUP("Undevelopable Area",'City Engine Data'!$A:$A,'City Engine Data'!$D:$D, "NA")</f>
        <v>NA</v>
      </c>
      <c r="E25" s="34" t="s">
        <v>22</v>
      </c>
      <c r="F25" s="14" t="str">
        <f>IF(C25="NA", "NA", C25/$C$27)</f>
        <v>NA</v>
      </c>
      <c r="G25" s="17"/>
      <c r="H25" s="21"/>
      <c r="I25" s="13"/>
      <c r="J25" s="40"/>
      <c r="K25" s="49"/>
      <c r="L25" s="21"/>
      <c r="M25" s="45"/>
      <c r="N25" s="1"/>
      <c r="O25" s="43"/>
      <c r="P25" s="1"/>
      <c r="Q25" s="49"/>
    </row>
    <row r="26" spans="2:17" x14ac:dyDescent="0.25">
      <c r="B26" s="28"/>
      <c r="C26" s="13"/>
      <c r="D26" s="13"/>
      <c r="E26" s="34"/>
      <c r="F26" s="13"/>
      <c r="G26" s="17"/>
      <c r="H26" s="21"/>
      <c r="I26" s="13"/>
      <c r="J26" s="40"/>
      <c r="K26" s="49"/>
      <c r="L26" s="21"/>
      <c r="M26" s="45"/>
      <c r="N26" s="1"/>
      <c r="O26" s="43"/>
      <c r="P26" s="1"/>
      <c r="Q26" s="49"/>
    </row>
    <row r="27" spans="2:17" x14ac:dyDescent="0.25">
      <c r="B27" s="29" t="s">
        <v>43</v>
      </c>
      <c r="C27" s="4">
        <f>SUM(C23,C25)</f>
        <v>366934.541780948</v>
      </c>
      <c r="D27" s="5">
        <f>SUM(D25,D23)</f>
        <v>3966160.5417809482</v>
      </c>
      <c r="E27" s="35"/>
      <c r="F27" s="6"/>
      <c r="G27" s="19"/>
      <c r="H27" s="22"/>
      <c r="I27" s="6"/>
      <c r="J27" s="41"/>
      <c r="K27" s="50"/>
      <c r="L27" s="22"/>
      <c r="M27" s="46"/>
      <c r="N27" s="6"/>
      <c r="O27" s="41"/>
      <c r="P27" s="6"/>
      <c r="Q27" s="50"/>
    </row>
    <row r="28" spans="2:17" x14ac:dyDescent="0.25">
      <c r="B28" s="2" t="s">
        <v>44</v>
      </c>
      <c r="C28" s="1">
        <f>SUM('Parcel Data'!C:C)/43560</f>
        <v>281.21265203486757</v>
      </c>
      <c r="D28" s="1"/>
      <c r="E28" s="37"/>
      <c r="F28" s="1"/>
      <c r="G28" s="1"/>
      <c r="H28" s="1"/>
      <c r="I28" s="1"/>
      <c r="J28" s="43"/>
      <c r="K28" s="43"/>
      <c r="L28" s="1"/>
      <c r="M28" s="37"/>
      <c r="N28" s="1"/>
      <c r="O28" s="43"/>
      <c r="P28" s="1"/>
      <c r="Q28" s="43"/>
    </row>
  </sheetData>
  <mergeCells count="5">
    <mergeCell ref="L2:Q2"/>
    <mergeCell ref="C3:G3"/>
    <mergeCell ref="H3:K3"/>
    <mergeCell ref="L3:M3"/>
    <mergeCell ref="O3:P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6DD15-52EF-4945-BD1C-423B1BD3D23A}">
  <dimension ref="B2:Q30"/>
  <sheetViews>
    <sheetView workbookViewId="0">
      <selection activeCell="T18" sqref="T18"/>
    </sheetView>
  </sheetViews>
  <sheetFormatPr defaultRowHeight="15" x14ac:dyDescent="0.25"/>
  <cols>
    <col min="2" max="2" width="23.42578125" customWidth="1"/>
    <col min="3" max="3" width="11.5703125" bestFit="1" customWidth="1"/>
    <col min="4" max="4" width="10.140625" bestFit="1" customWidth="1"/>
    <col min="5" max="5" width="11.5703125" style="32" bestFit="1" customWidth="1"/>
    <col min="6" max="6" width="13.42578125" customWidth="1"/>
    <col min="7" max="7" width="7.85546875" bestFit="1" customWidth="1"/>
    <col min="8" max="8" width="17.85546875" customWidth="1"/>
    <col min="9" max="9" width="16.42578125" customWidth="1"/>
    <col min="10" max="10" width="13.42578125" style="38" customWidth="1"/>
    <col min="11" max="11" width="11.28515625" style="38" customWidth="1"/>
    <col min="12" max="12" width="12.7109375" customWidth="1"/>
    <col min="13" max="13" width="11.5703125" style="32" bestFit="1" customWidth="1"/>
    <col min="14" max="14" width="17.7109375" customWidth="1"/>
    <col min="15" max="15" width="15" style="38" customWidth="1"/>
    <col min="16" max="16" width="15" customWidth="1"/>
    <col min="17" max="17" width="13.85546875" style="38" customWidth="1"/>
  </cols>
  <sheetData>
    <row r="2" spans="2:17" x14ac:dyDescent="0.25">
      <c r="L2" s="93" t="s">
        <v>45</v>
      </c>
      <c r="M2" s="93"/>
      <c r="N2" s="93"/>
      <c r="O2" s="93"/>
      <c r="P2" s="93"/>
      <c r="Q2" s="93"/>
    </row>
    <row r="3" spans="2:17" x14ac:dyDescent="0.25">
      <c r="B3" s="27"/>
      <c r="C3" s="94" t="s">
        <v>0</v>
      </c>
      <c r="D3" s="95"/>
      <c r="E3" s="95"/>
      <c r="F3" s="95"/>
      <c r="G3" s="96"/>
      <c r="H3" s="94" t="s">
        <v>1</v>
      </c>
      <c r="I3" s="95"/>
      <c r="J3" s="95"/>
      <c r="K3" s="96"/>
      <c r="L3" s="94" t="s">
        <v>2</v>
      </c>
      <c r="M3" s="96"/>
      <c r="N3" s="2" t="s">
        <v>3</v>
      </c>
      <c r="O3" s="97" t="s">
        <v>4</v>
      </c>
      <c r="P3" s="97"/>
      <c r="Q3" s="52"/>
    </row>
    <row r="4" spans="2:17" ht="30.75" thickBot="1" x14ac:dyDescent="0.3">
      <c r="B4" s="26" t="s">
        <v>5</v>
      </c>
      <c r="C4" s="3" t="s">
        <v>6</v>
      </c>
      <c r="D4" s="3" t="s">
        <v>7</v>
      </c>
      <c r="E4" s="33" t="s">
        <v>8</v>
      </c>
      <c r="F4" s="3" t="s">
        <v>9</v>
      </c>
      <c r="G4" s="11" t="s">
        <v>10</v>
      </c>
      <c r="H4" s="20" t="s">
        <v>11</v>
      </c>
      <c r="I4" s="3" t="s">
        <v>12</v>
      </c>
      <c r="J4" s="39" t="s">
        <v>13</v>
      </c>
      <c r="K4" s="48" t="s">
        <v>14</v>
      </c>
      <c r="L4" s="20" t="s">
        <v>15</v>
      </c>
      <c r="M4" s="44" t="s">
        <v>16</v>
      </c>
      <c r="N4" s="3" t="s">
        <v>17</v>
      </c>
      <c r="O4" s="48" t="s">
        <v>18</v>
      </c>
      <c r="P4" s="3" t="s">
        <v>19</v>
      </c>
      <c r="Q4" s="48" t="s">
        <v>20</v>
      </c>
    </row>
    <row r="5" spans="2:17" x14ac:dyDescent="0.25">
      <c r="B5" s="28" t="s">
        <v>21</v>
      </c>
      <c r="C5" s="12">
        <f>_xlfn.XLOOKUP("Single Family Footprint Area",'City Engine Data'!$A:$A,'City Engine Data'!$D:$D, "NA")</f>
        <v>263916.33863768802</v>
      </c>
      <c r="D5" s="12">
        <f>_xlfn.XLOOKUP("Single Family Area",'City Engine Data'!$A:$A,'City Engine Data'!$D:$D, "NA")</f>
        <v>527832.65720933594</v>
      </c>
      <c r="E5" s="34">
        <f>IF(_xlfn.XLOOKUP("Single Family Area", 'City Engine Data'!$A:$A, 'City Engine Data'!$D:$D, "NA")  = "NA", "NA", _xlfn.XLOOKUP("Single Family Area", 'City Engine Data'!$A:$A, 'City Engine Data'!$D:$D, "NA") / _xlfn.XLOOKUP("Single Family Parcel Area", 'City Engine Data'!$A:$A,'City Engine Data'!$D:$D, "NA"))</f>
        <v>0.65911468783686755</v>
      </c>
      <c r="F5" s="14">
        <f>IF(C5="NA", "NA", C5/$C$25)</f>
        <v>2.0611621210083347E-2</v>
      </c>
      <c r="G5" s="14">
        <f>IF(D5="NA", "NA", D5/$D$25)</f>
        <v>3.3578191529435836E-2</v>
      </c>
      <c r="H5" s="21"/>
      <c r="I5" s="13"/>
      <c r="J5" s="40">
        <f>D5/L5</f>
        <v>263.91632860466797</v>
      </c>
      <c r="K5" s="49" t="s">
        <v>22</v>
      </c>
      <c r="L5" s="24">
        <v>2000</v>
      </c>
      <c r="M5" s="45">
        <f>J5/$C$30</f>
        <v>1.1688720319657973</v>
      </c>
      <c r="N5" s="1" t="s">
        <v>22</v>
      </c>
      <c r="O5" s="49" t="s">
        <v>22</v>
      </c>
      <c r="P5" s="1" t="s">
        <v>22</v>
      </c>
      <c r="Q5" s="49"/>
    </row>
    <row r="6" spans="2:17" x14ac:dyDescent="0.25">
      <c r="B6" s="29" t="s">
        <v>23</v>
      </c>
      <c r="C6" s="5">
        <f>_xlfn.XLOOKUP("Multifamily Footprint Area",'City Engine Data'!$A:$A,'City Engine Data'!$D:$D, "NA")</f>
        <v>832819.53125568398</v>
      </c>
      <c r="D6" s="5">
        <f>_xlfn.XLOOKUP("Multifamily Area",'City Engine Data'!$A:$A,'City Engine Data'!$D:$D, "NA")</f>
        <v>1857892.0996756</v>
      </c>
      <c r="E6" s="35">
        <f>IF(_xlfn.XLOOKUP("Multifamily Area", 'City Engine Data'!$A:$A, 'City Engine Data'!$D:$D, "NA")  = "NA", "NA", _xlfn.XLOOKUP("Multifamily Area", 'City Engine Data'!$A:$A, 'City Engine Data'!$D:$D, "NA") / _xlfn.XLOOKUP("Multifamily Parcel Area", 'City Engine Data'!$A:$A,'City Engine Data'!$D:$D, "NA"))</f>
        <v>1.0729316491402847</v>
      </c>
      <c r="F6" s="7">
        <f>IF(C6="NA", "NA", C6/$C$25)</f>
        <v>6.5042432777028564E-2</v>
      </c>
      <c r="G6" s="16">
        <f>IF(D6="NA", "NA", D6/$D$25)</f>
        <v>0.1181902178879234</v>
      </c>
      <c r="H6" s="22"/>
      <c r="I6" s="6"/>
      <c r="J6" s="41">
        <f>D6/L6</f>
        <v>1857.8920996755999</v>
      </c>
      <c r="K6" s="50" t="s">
        <v>22</v>
      </c>
      <c r="L6" s="4">
        <v>1000</v>
      </c>
      <c r="M6" s="46">
        <f>J6/$C$30</f>
        <v>8.228509865996255</v>
      </c>
      <c r="N6" s="6" t="s">
        <v>22</v>
      </c>
      <c r="O6" s="50" t="s">
        <v>22</v>
      </c>
      <c r="P6" s="6" t="s">
        <v>22</v>
      </c>
      <c r="Q6" s="50"/>
    </row>
    <row r="7" spans="2:17" x14ac:dyDescent="0.25">
      <c r="B7" s="28" t="s">
        <v>24</v>
      </c>
      <c r="C7" s="12">
        <f>SUM(C5:C6)</f>
        <v>1096735.8698933721</v>
      </c>
      <c r="D7" s="12">
        <f>SUM(D5:D6)</f>
        <v>2385724.7568849358</v>
      </c>
      <c r="E7" s="34">
        <f>AVERAGE(E5:E6)</f>
        <v>0.86602316848857619</v>
      </c>
      <c r="F7" s="14">
        <f>SUM(F5:F6)</f>
        <v>8.5654053987111914E-2</v>
      </c>
      <c r="G7" s="15">
        <f>SUM(G5:G6)</f>
        <v>0.15176840941735925</v>
      </c>
      <c r="H7" s="21">
        <f>SUM(H5:H6)</f>
        <v>0</v>
      </c>
      <c r="I7" s="13">
        <f>SUM(I5:I6)</f>
        <v>0</v>
      </c>
      <c r="J7" s="40">
        <f>SUM(J5:J6)</f>
        <v>2121.8084282802679</v>
      </c>
      <c r="K7" s="49" t="s">
        <v>22</v>
      </c>
      <c r="L7" s="24">
        <f>AVERAGE(L5:L6)</f>
        <v>1500</v>
      </c>
      <c r="M7" s="45">
        <f>SUM(M5:M6)</f>
        <v>9.3973818979620525</v>
      </c>
      <c r="N7" s="1" t="s">
        <v>22</v>
      </c>
      <c r="O7" s="49" t="s">
        <v>22</v>
      </c>
      <c r="P7" s="1" t="s">
        <v>22</v>
      </c>
      <c r="Q7" s="49"/>
    </row>
    <row r="8" spans="2:17" x14ac:dyDescent="0.25">
      <c r="B8" s="28"/>
      <c r="C8" s="13"/>
      <c r="D8" s="13"/>
      <c r="E8" s="34"/>
      <c r="F8" s="13"/>
      <c r="G8" s="17"/>
      <c r="H8" s="21"/>
      <c r="I8" s="13"/>
      <c r="J8" s="40"/>
      <c r="K8" s="49"/>
      <c r="L8" s="21"/>
      <c r="M8" s="45"/>
      <c r="N8" s="1"/>
      <c r="O8" s="49"/>
      <c r="P8" s="1"/>
      <c r="Q8" s="49"/>
    </row>
    <row r="9" spans="2:17" x14ac:dyDescent="0.25">
      <c r="B9" s="28" t="s">
        <v>25</v>
      </c>
      <c r="C9" s="12">
        <f>_xlfn.XLOOKUP("Office Footprint Area",'City Engine Data'!$A:$A,'City Engine Data'!$D:$D, "NA")</f>
        <v>647539.92972905503</v>
      </c>
      <c r="D9" s="12">
        <f>_xlfn.XLOOKUP("Office Area",'City Engine Data'!$A:$A,'City Engine Data'!$D:$D, "NA")</f>
        <v>1403984.1333485399</v>
      </c>
      <c r="E9" s="34">
        <f>IF(_xlfn.XLOOKUP("Office Area", 'City Engine Data'!$A:$A, 'City Engine Data'!$D:$D, "NA")  = "NA", "NA", _xlfn.XLOOKUP("Office Area", 'City Engine Data'!$A:$A, 'City Engine Data'!$D:$D, "NA") / _xlfn.XLOOKUP("Office Parcel Area", 'City Engine Data'!$A:$A,'City Engine Data'!$D:$D, "NA"))</f>
        <v>1.0664624645174858</v>
      </c>
      <c r="F9" s="14">
        <f>IF(C9="NA", "NA", C9/$C$25)</f>
        <v>5.0572267783322841E-2</v>
      </c>
      <c r="G9" s="14">
        <f>IF(D9="NA", "NA", D9/$D$25)</f>
        <v>8.9314761960947536E-2</v>
      </c>
      <c r="H9" s="21" t="s">
        <v>22</v>
      </c>
      <c r="I9" s="13" t="s">
        <v>22</v>
      </c>
      <c r="J9" s="40" t="s">
        <v>22</v>
      </c>
      <c r="K9" s="49">
        <f t="shared" ref="K9:K10" si="0">IF(D9 = "NA", "NA", (D9/1000)*N9)</f>
        <v>4211.9524000456195</v>
      </c>
      <c r="L9" s="21" t="s">
        <v>22</v>
      </c>
      <c r="M9" s="45" t="s">
        <v>22</v>
      </c>
      <c r="N9" s="1">
        <v>3</v>
      </c>
      <c r="O9" s="49" t="s">
        <v>22</v>
      </c>
      <c r="P9" s="1" t="s">
        <v>22</v>
      </c>
      <c r="Q9" s="49"/>
    </row>
    <row r="10" spans="2:17" x14ac:dyDescent="0.25">
      <c r="B10" s="28" t="s">
        <v>26</v>
      </c>
      <c r="C10" s="12">
        <f>_xlfn.XLOOKUP("Commercial Footprint Area",'City Engine Data'!$A:$A,'City Engine Data'!$D:$D, "NA")</f>
        <v>1801789.8355757799</v>
      </c>
      <c r="D10" s="12">
        <f>_xlfn.XLOOKUP("Commercial Area",'City Engine Data'!$A:$A,'City Engine Data'!$D:$D, "NA")</f>
        <v>2312901.13482391</v>
      </c>
      <c r="E10" s="34">
        <f>IF(_xlfn.XLOOKUP("Commercial Area", 'City Engine Data'!$A:$A, 'City Engine Data'!$D:$D, "NA")  = "NA", "NA", _xlfn.XLOOKUP("Commercial Area", 'City Engine Data'!$A:$A, 'City Engine Data'!$D:$D, "NA") / _xlfn.XLOOKUP("Commercial Parcel Area", 'City Engine Data'!$A:$A,'City Engine Data'!$D:$D, "NA"))</f>
        <v>0.64544139714708626</v>
      </c>
      <c r="F10" s="14">
        <f>IF(C10="NA", "NA", C10/$C$25)</f>
        <v>0.14071811462211209</v>
      </c>
      <c r="G10" s="14">
        <f>IF(D10="NA", "NA", D10/$D$25)</f>
        <v>0.14713571855211294</v>
      </c>
      <c r="H10" s="21" t="s">
        <v>22</v>
      </c>
      <c r="I10" s="13" t="s">
        <v>22</v>
      </c>
      <c r="J10" s="40" t="s">
        <v>22</v>
      </c>
      <c r="K10" s="49">
        <f t="shared" si="0"/>
        <v>4625.8022696478201</v>
      </c>
      <c r="L10" s="21" t="s">
        <v>22</v>
      </c>
      <c r="M10" s="45" t="s">
        <v>22</v>
      </c>
      <c r="N10" s="1">
        <v>2</v>
      </c>
      <c r="O10" s="49" t="s">
        <v>22</v>
      </c>
      <c r="P10" s="1" t="s">
        <v>22</v>
      </c>
      <c r="Q10" s="49"/>
    </row>
    <row r="11" spans="2:17" x14ac:dyDescent="0.25">
      <c r="B11" s="28" t="s">
        <v>81</v>
      </c>
      <c r="C11" s="12" t="str">
        <f>_xlfn.XLOOKUP("Hotel Footprint Area",'City Engine Data'!$A:$A,'City Engine Data'!$D:$D, "NA")</f>
        <v>NA</v>
      </c>
      <c r="D11" s="12" t="str">
        <f>_xlfn.XLOOKUP("Hotel Area",'City Engine Data'!$A:$A,'City Engine Data'!$D:$D, "NA")</f>
        <v>NA</v>
      </c>
      <c r="E11" s="34" t="str">
        <f>IF(_xlfn.XLOOKUP("Hotel Area", 'City Engine Data'!$A:$A, 'City Engine Data'!$D:$D, "NA")  = "NA", "NA", _xlfn.XLOOKUP("Hotel Area", 'City Engine Data'!$A:$A, 'City Engine Data'!$D:$D, "NA") / _xlfn.XLOOKUP("Hotel Parcel Area", 'City Engine Data'!$A:$A,'City Engine Data'!$D:$D, "NA"))</f>
        <v>NA</v>
      </c>
      <c r="F11" s="14" t="str">
        <f>IF(C11="NA", "NA", C11/$C$25)</f>
        <v>NA</v>
      </c>
      <c r="G11" s="14" t="str">
        <f t="shared" ref="G11:G13" si="1">IF(D11="NA", "NA", D11/$C$25)</f>
        <v>NA</v>
      </c>
      <c r="H11" s="21"/>
      <c r="I11" s="13"/>
      <c r="J11" s="40"/>
      <c r="K11" s="49" t="str">
        <f>IF(D11 = "NA", "NA", (D11/1000)*N11)</f>
        <v>NA</v>
      </c>
      <c r="L11" s="21"/>
      <c r="M11" s="45"/>
      <c r="N11" s="1"/>
      <c r="O11" s="49"/>
      <c r="P11" s="1"/>
      <c r="Q11" s="49"/>
    </row>
    <row r="12" spans="2:17" x14ac:dyDescent="0.25">
      <c r="B12" s="28" t="s">
        <v>27</v>
      </c>
      <c r="C12" s="12" t="str">
        <f>_xlfn.XLOOKUP("Institutional Family Footprint Area",'City Engine Data'!$A:$A,'City Engine Data'!$D:$D, "NA")</f>
        <v>NA</v>
      </c>
      <c r="D12" s="12" t="str">
        <f>_xlfn.XLOOKUP("Institutional Area",'City Engine Data'!$A:$A,'City Engine Data'!$D:$D, "NA")</f>
        <v>NA</v>
      </c>
      <c r="E12" s="34" t="str">
        <f>IF(_xlfn.XLOOKUP("Institutional Area", 'City Engine Data'!$A:$A, 'City Engine Data'!$D:$D, "NA")  = "NA", "NA", _xlfn.XLOOKUP("Institutional Area", 'City Engine Data'!$A:$A, 'City Engine Data'!$D:$D, "NA") / _xlfn.XLOOKUP("Institutional Parcel Area", 'City Engine Data'!$A:$A,'City Engine Data'!$D:$D, "NA"))</f>
        <v>NA</v>
      </c>
      <c r="F12" s="14" t="str">
        <f>IF(C12="NA", "NA", C12/$C$25)</f>
        <v>NA</v>
      </c>
      <c r="G12" s="14" t="str">
        <f t="shared" si="1"/>
        <v>NA</v>
      </c>
      <c r="H12" s="21" t="s">
        <v>22</v>
      </c>
      <c r="I12" s="13" t="s">
        <v>22</v>
      </c>
      <c r="J12" s="40" t="s">
        <v>22</v>
      </c>
      <c r="K12" s="49" t="str">
        <f t="shared" ref="K12:K13" si="2">IF(D12 = "NA", "NA", (D12/1000)*N12)</f>
        <v>NA</v>
      </c>
      <c r="L12" s="21" t="s">
        <v>22</v>
      </c>
      <c r="M12" s="45" t="s">
        <v>22</v>
      </c>
      <c r="N12" s="1">
        <v>2</v>
      </c>
      <c r="O12" s="49" t="s">
        <v>22</v>
      </c>
      <c r="P12" s="1" t="s">
        <v>22</v>
      </c>
      <c r="Q12" s="49"/>
    </row>
    <row r="13" spans="2:17" x14ac:dyDescent="0.25">
      <c r="B13" s="29" t="s">
        <v>28</v>
      </c>
      <c r="C13" s="5" t="str">
        <f>_xlfn.XLOOKUP("Industrial Footprint Area",'City Engine Data'!$A:$A,'City Engine Data'!$D:$D, "NA")</f>
        <v>NA</v>
      </c>
      <c r="D13" s="5" t="str">
        <f>_xlfn.XLOOKUP("Industrial Area",'City Engine Data'!$A:$A,'City Engine Data'!$D:$D, "NA")</f>
        <v>NA</v>
      </c>
      <c r="E13" s="35" t="str">
        <f>IF(_xlfn.XLOOKUP("Industrial Area", 'City Engine Data'!$A:$A, 'City Engine Data'!$D:$D, "NA")  = "NA", "NA", _xlfn.XLOOKUP("Industrial Area", 'City Engine Data'!$A:$A, 'City Engine Data'!$D:$D, "NA") / _xlfn.XLOOKUP("Industrial Parcel Area", 'City Engine Data'!$A:$A,'City Engine Data'!$D:$D, "NA"))</f>
        <v>NA</v>
      </c>
      <c r="F13" s="7" t="str">
        <f>IF(C13="NA", "NA", C13/$C$25)</f>
        <v>NA</v>
      </c>
      <c r="G13" s="16" t="str">
        <f t="shared" si="1"/>
        <v>NA</v>
      </c>
      <c r="H13" s="22" t="s">
        <v>22</v>
      </c>
      <c r="I13" s="6" t="s">
        <v>22</v>
      </c>
      <c r="J13" s="41" t="s">
        <v>22</v>
      </c>
      <c r="K13" s="50" t="str">
        <f t="shared" si="2"/>
        <v>NA</v>
      </c>
      <c r="L13" s="22" t="s">
        <v>22</v>
      </c>
      <c r="M13" s="46" t="s">
        <v>22</v>
      </c>
      <c r="N13" s="6">
        <v>1</v>
      </c>
      <c r="O13" s="50" t="s">
        <v>22</v>
      </c>
      <c r="P13" s="6" t="s">
        <v>22</v>
      </c>
      <c r="Q13" s="50"/>
    </row>
    <row r="14" spans="2:17" ht="15.75" thickBot="1" x14ac:dyDescent="0.3">
      <c r="B14" s="30" t="s">
        <v>29</v>
      </c>
      <c r="C14" s="8">
        <f>SUM(C9:C13)</f>
        <v>2449329.765304835</v>
      </c>
      <c r="D14" s="8">
        <f>SUM(D9:D13)</f>
        <v>3716885.2681724499</v>
      </c>
      <c r="E14" s="36">
        <f>AVERAGE(E9:E13)</f>
        <v>0.85595193083228605</v>
      </c>
      <c r="F14" s="10">
        <f>SUM(F9:F13)</f>
        <v>0.19129038240543494</v>
      </c>
      <c r="G14" s="18">
        <f>SUM(G9:G13)</f>
        <v>0.23645048051306047</v>
      </c>
      <c r="H14" s="23" t="s">
        <v>22</v>
      </c>
      <c r="I14" s="9" t="s">
        <v>22</v>
      </c>
      <c r="J14" s="42" t="s">
        <v>22</v>
      </c>
      <c r="K14" s="51">
        <f>SUM(K9:K13)</f>
        <v>8837.7546696934405</v>
      </c>
      <c r="L14" s="23" t="s">
        <v>22</v>
      </c>
      <c r="M14" s="47" t="s">
        <v>22</v>
      </c>
      <c r="N14" s="9">
        <v>2.5</v>
      </c>
      <c r="O14" s="51" t="s">
        <v>22</v>
      </c>
      <c r="P14" s="9" t="s">
        <v>22</v>
      </c>
      <c r="Q14" s="51"/>
    </row>
    <row r="15" spans="2:17" ht="15.75" thickTop="1" x14ac:dyDescent="0.25">
      <c r="B15" s="28" t="s">
        <v>30</v>
      </c>
      <c r="C15" s="12">
        <f>C14+C7</f>
        <v>3546065.6351982071</v>
      </c>
      <c r="D15" s="12">
        <f>SUM(D14,D7)</f>
        <v>6102610.0250573857</v>
      </c>
      <c r="E15" s="34">
        <f>AVERAGE(E14,E7)</f>
        <v>0.86098754966043112</v>
      </c>
      <c r="F15" s="14">
        <f>SUM(F14,F7)</f>
        <v>0.27694443639254684</v>
      </c>
      <c r="G15" s="15">
        <f>SUM(G14,G7)</f>
        <v>0.38821888993041975</v>
      </c>
      <c r="H15" s="21" t="s">
        <v>22</v>
      </c>
      <c r="I15" s="13" t="s">
        <v>22</v>
      </c>
      <c r="J15" s="40" t="s">
        <v>22</v>
      </c>
      <c r="K15" s="49" t="s">
        <v>22</v>
      </c>
      <c r="L15" s="21"/>
      <c r="M15" s="45"/>
      <c r="N15" s="1"/>
      <c r="O15" s="43" t="s">
        <v>22</v>
      </c>
      <c r="P15" s="1" t="s">
        <v>22</v>
      </c>
      <c r="Q15" s="49"/>
    </row>
    <row r="16" spans="2:17" x14ac:dyDescent="0.25">
      <c r="B16" s="28"/>
      <c r="C16" s="13"/>
      <c r="D16" s="13"/>
      <c r="E16" s="34"/>
      <c r="F16" s="13"/>
      <c r="G16" s="17"/>
      <c r="H16" s="21"/>
      <c r="I16" s="13"/>
      <c r="J16" s="40"/>
      <c r="K16" s="49"/>
      <c r="L16" s="21"/>
      <c r="M16" s="45"/>
      <c r="N16" s="1"/>
      <c r="O16" s="43"/>
      <c r="P16" s="1"/>
      <c r="Q16" s="49"/>
    </row>
    <row r="17" spans="2:17" ht="30" x14ac:dyDescent="0.25">
      <c r="B17" s="28" t="s">
        <v>31</v>
      </c>
      <c r="C17" s="12">
        <f>_xlfn.XLOOKUP("Road Area, No Parking",'City Engine Data'!$A:$A,'City Engine Data'!$D:$D, "NA")</f>
        <v>3144699.95128626</v>
      </c>
      <c r="D17" s="12">
        <f>C17</f>
        <v>3144699.95128626</v>
      </c>
      <c r="E17" s="34" t="s">
        <v>22</v>
      </c>
      <c r="F17" s="14">
        <f t="shared" ref="F17:F22" si="3">IF(C17="NA", "NA", C17/$C$25)</f>
        <v>0.24559814882951639</v>
      </c>
      <c r="G17" s="14">
        <f>IF(D17="NA", "NA", D17/$D$25)</f>
        <v>0.20005078470356899</v>
      </c>
      <c r="H17" s="21"/>
      <c r="I17" s="13"/>
      <c r="J17" s="40" t="s">
        <v>32</v>
      </c>
      <c r="K17" s="49">
        <f>SUM(J7,K14)</f>
        <v>10959.563097973709</v>
      </c>
      <c r="L17" s="21"/>
      <c r="M17" s="45"/>
      <c r="N17" s="1"/>
      <c r="O17" s="43" t="s">
        <v>22</v>
      </c>
      <c r="P17" s="1" t="s">
        <v>22</v>
      </c>
      <c r="Q17" s="49"/>
    </row>
    <row r="18" spans="2:17" ht="30" x14ac:dyDescent="0.25">
      <c r="B18" s="28" t="s">
        <v>33</v>
      </c>
      <c r="C18" s="12">
        <f>_xlfn.XLOOKUP("On street Parking Area",'City Engine Data'!A:A,'City Engine Data'!D:D, "NA")</f>
        <v>366934.541780948</v>
      </c>
      <c r="D18" s="12">
        <f>C18</f>
        <v>366934.541780948</v>
      </c>
      <c r="E18" s="34" t="s">
        <v>22</v>
      </c>
      <c r="F18" s="14">
        <f t="shared" si="3"/>
        <v>2.8657247304674328E-2</v>
      </c>
      <c r="G18" s="14">
        <f t="shared" ref="G18:G22" si="4">IF(D18="NA", "NA", D18/$D$25)</f>
        <v>2.334262223907832E-2</v>
      </c>
      <c r="H18" s="21"/>
      <c r="I18" s="13"/>
      <c r="J18" s="40" t="s">
        <v>34</v>
      </c>
      <c r="K18" s="45">
        <f>(K14/J7)</f>
        <v>4.1651991536561424</v>
      </c>
      <c r="L18" s="21"/>
      <c r="M18" s="45"/>
      <c r="N18" s="1"/>
      <c r="O18" s="43">
        <f>IF(C18 = "NA", "NA", C18/P18)</f>
        <v>2293.3408861309249</v>
      </c>
      <c r="P18" s="1">
        <v>160</v>
      </c>
      <c r="Q18" s="49"/>
    </row>
    <row r="19" spans="2:17" x14ac:dyDescent="0.25">
      <c r="B19" s="28" t="s">
        <v>122</v>
      </c>
      <c r="C19" s="12">
        <f>_xlfn.XLOOKUP("Surface Parking Area",'City Engine Data'!$A:$A,'City Engine Data'!$D:$D, "NA")</f>
        <v>1983889.2763213201</v>
      </c>
      <c r="D19" s="12">
        <f>_xlfn.XLOOKUP("Surface Parking Area",'City Engine Data'!$A:$A,'City Engine Data'!$D:$D, "NA")</f>
        <v>1983889.2763213201</v>
      </c>
      <c r="E19" s="34">
        <v>1</v>
      </c>
      <c r="F19" s="14">
        <f t="shared" si="3"/>
        <v>0.15493991200907806</v>
      </c>
      <c r="G19" s="14">
        <f t="shared" si="4"/>
        <v>0.12620555621872367</v>
      </c>
      <c r="H19" s="21"/>
      <c r="I19" s="13"/>
      <c r="J19" s="40"/>
      <c r="K19" s="49"/>
      <c r="L19" s="21"/>
      <c r="M19" s="45"/>
      <c r="N19" s="1"/>
      <c r="O19" s="43">
        <f>IF(D19 = "NA", "NA", D19/P19)</f>
        <v>4959.7231908033</v>
      </c>
      <c r="P19" s="1">
        <v>400</v>
      </c>
      <c r="Q19" s="49"/>
    </row>
    <row r="20" spans="2:17" x14ac:dyDescent="0.25">
      <c r="B20" s="28" t="s">
        <v>118</v>
      </c>
      <c r="C20" s="12">
        <f>_xlfn.XLOOKUP("Parking Footprint Area",'City Engine Data'!$A:$A,'City Engine Data'!$D:$D, "NA")</f>
        <v>197591.934450306</v>
      </c>
      <c r="D20" s="12">
        <f>_xlfn.XLOOKUP("Structured Parking",'City Engine Data'!$A:$A,'City Engine Data'!$D:$D, "NA")</f>
        <v>556306.34211415495</v>
      </c>
      <c r="E20" s="34">
        <f>_xlfn.XLOOKUP("Structured Parking", 'City Engine Data'!$A:$A, 'City Engine Data'!$D:$D, "NA") / _xlfn.XLOOKUP("Parking Parcel Area", 'City Engine Data'!$A:$A,'City Engine Data'!$D:$D, "NA")</f>
        <v>0.4163688902091649</v>
      </c>
      <c r="F20" s="14">
        <f t="shared" si="3"/>
        <v>1.5431746772784811E-2</v>
      </c>
      <c r="G20" s="14">
        <f t="shared" ref="G20" si="5">IF(D20="NA", "NA", D20/$D$25)</f>
        <v>3.5389551308381152E-2</v>
      </c>
      <c r="H20" s="21"/>
      <c r="I20" s="13"/>
      <c r="J20" s="40"/>
      <c r="K20" s="49"/>
      <c r="L20" s="21"/>
      <c r="M20" s="45"/>
      <c r="N20" s="1"/>
      <c r="O20" s="43">
        <f>IF(D20 = "NA", "NA", D20/P20)</f>
        <v>1390.7658552853873</v>
      </c>
      <c r="P20" s="1">
        <v>400</v>
      </c>
      <c r="Q20" s="49"/>
    </row>
    <row r="21" spans="2:17" x14ac:dyDescent="0.25">
      <c r="B21" s="28" t="s">
        <v>36</v>
      </c>
      <c r="C21" s="12">
        <f>_xlfn.XLOOKUP("Total Open Space",'City Engine Data'!A:A,'City Engine Data'!D:D, "NA")</f>
        <v>3565068.0670493799</v>
      </c>
      <c r="D21" s="12">
        <f>C21</f>
        <v>3565068.0670493799</v>
      </c>
      <c r="E21" s="34" t="s">
        <v>22</v>
      </c>
      <c r="F21" s="14">
        <f t="shared" si="3"/>
        <v>0.27842850869139946</v>
      </c>
      <c r="G21" s="14">
        <f t="shared" si="4"/>
        <v>0.22679259559982823</v>
      </c>
      <c r="H21" s="21"/>
      <c r="I21" s="13"/>
      <c r="J21" s="40"/>
      <c r="K21" s="49"/>
      <c r="L21" s="21"/>
      <c r="M21" s="45"/>
      <c r="N21" s="1"/>
      <c r="O21" s="43" t="s">
        <v>22</v>
      </c>
      <c r="P21" s="1" t="s">
        <v>22</v>
      </c>
      <c r="Q21" s="49">
        <f>D21/K17</f>
        <v>325.29290038108525</v>
      </c>
    </row>
    <row r="22" spans="2:17" x14ac:dyDescent="0.25">
      <c r="B22" s="29" t="s">
        <v>37</v>
      </c>
      <c r="C22" s="5" t="str">
        <f>_xlfn.XLOOKUP("Total Retention Area",'City Engine Data'!$A:$A,'City Engine Data'!$D:$D,"NA")</f>
        <v>NA</v>
      </c>
      <c r="D22" s="5" t="str">
        <f>C22</f>
        <v>NA</v>
      </c>
      <c r="E22" s="35" t="s">
        <v>22</v>
      </c>
      <c r="F22" s="7" t="str">
        <f t="shared" si="3"/>
        <v>NA</v>
      </c>
      <c r="G22" s="16" t="str">
        <f t="shared" si="4"/>
        <v>NA</v>
      </c>
      <c r="H22" s="22"/>
      <c r="I22" s="6"/>
      <c r="J22" s="41"/>
      <c r="K22" s="50"/>
      <c r="L22" s="22"/>
      <c r="M22" s="46"/>
      <c r="N22" s="6"/>
      <c r="O22" s="41" t="s">
        <v>22</v>
      </c>
      <c r="P22" s="6" t="s">
        <v>22</v>
      </c>
      <c r="Q22" s="50"/>
    </row>
    <row r="23" spans="2:17" x14ac:dyDescent="0.25">
      <c r="B23" s="28" t="s">
        <v>38</v>
      </c>
      <c r="C23" s="12">
        <f>SUM(C17:C22)</f>
        <v>9258183.7708882149</v>
      </c>
      <c r="D23" s="12">
        <f>SUM(D17:D22)</f>
        <v>9616898.1785520632</v>
      </c>
      <c r="E23" s="34">
        <f>AVERAGE(E17:E22)</f>
        <v>0.70818444510458245</v>
      </c>
      <c r="F23" s="14">
        <f>SUM(F17:F22)</f>
        <v>0.72305556360745304</v>
      </c>
      <c r="G23" s="15">
        <f>SUM(G17:G22)</f>
        <v>0.61178111006958036</v>
      </c>
      <c r="H23" s="21"/>
      <c r="I23" s="13"/>
      <c r="J23" s="40"/>
      <c r="K23" s="49"/>
      <c r="L23" s="21"/>
      <c r="M23" s="45"/>
      <c r="N23" s="1" t="s">
        <v>123</v>
      </c>
      <c r="O23" s="43">
        <f>SUM(O18:O19)</f>
        <v>7253.0640769342244</v>
      </c>
      <c r="P23" s="1"/>
      <c r="Q23" s="49"/>
    </row>
    <row r="24" spans="2:17" ht="30" x14ac:dyDescent="0.25">
      <c r="B24" s="28"/>
      <c r="C24" s="13"/>
      <c r="D24" s="13"/>
      <c r="E24" s="34"/>
      <c r="F24" s="13"/>
      <c r="G24" s="17"/>
      <c r="H24" s="21"/>
      <c r="I24" s="13"/>
      <c r="J24" s="40"/>
      <c r="K24" s="49"/>
      <c r="L24" s="21"/>
      <c r="M24" s="45"/>
      <c r="N24" s="1"/>
      <c r="O24" s="43" t="s">
        <v>39</v>
      </c>
      <c r="P24" s="1">
        <f>O23/(D15/1000)</f>
        <v>1.1885183629878138</v>
      </c>
      <c r="Q24" s="49"/>
    </row>
    <row r="25" spans="2:17" ht="30" x14ac:dyDescent="0.25">
      <c r="B25" s="28" t="s">
        <v>40</v>
      </c>
      <c r="C25" s="12">
        <f>C23+C15</f>
        <v>12804249.406086423</v>
      </c>
      <c r="D25" s="12">
        <f>SUM(D23,D15)</f>
        <v>15719508.203609448</v>
      </c>
      <c r="E25" s="34">
        <f>AVERAGE(E23,E15)</f>
        <v>0.78458599738250678</v>
      </c>
      <c r="F25" s="14">
        <f>SUM(F23,F15)</f>
        <v>0.99999999999999989</v>
      </c>
      <c r="G25" s="15">
        <f>SUM(G23,G15)</f>
        <v>1</v>
      </c>
      <c r="H25" s="21"/>
      <c r="I25" s="13"/>
      <c r="J25" s="40"/>
      <c r="K25" s="49"/>
      <c r="L25" s="21"/>
      <c r="M25" s="45"/>
      <c r="N25" s="1"/>
      <c r="O25" s="43" t="s">
        <v>41</v>
      </c>
      <c r="P25" s="1">
        <f>O23/K17</f>
        <v>0.66180230106756976</v>
      </c>
      <c r="Q25" s="49"/>
    </row>
    <row r="26" spans="2:17" x14ac:dyDescent="0.25">
      <c r="B26" s="28"/>
      <c r="C26" s="13"/>
      <c r="D26" s="13"/>
      <c r="E26" s="34"/>
      <c r="F26" s="13"/>
      <c r="G26" s="17"/>
      <c r="H26" s="21"/>
      <c r="I26" s="13"/>
      <c r="J26" s="40"/>
      <c r="K26" s="49"/>
      <c r="L26" s="21"/>
      <c r="M26" s="45"/>
      <c r="N26" s="1"/>
      <c r="O26" s="43"/>
      <c r="P26" s="1"/>
      <c r="Q26" s="49"/>
    </row>
    <row r="27" spans="2:17" x14ac:dyDescent="0.25">
      <c r="B27" s="28" t="s">
        <v>42</v>
      </c>
      <c r="C27" s="12" t="str">
        <f>_xlfn.XLOOKUP("Undevelopable Area",'City Engine Data'!A:A,'City Engine Data'!D:D, "NA")</f>
        <v>NA</v>
      </c>
      <c r="D27" s="12" t="str">
        <f>_xlfn.XLOOKUP("Undevelopable Area",'City Engine Data'!$A:$A,'City Engine Data'!$D:$D, "NA")</f>
        <v>NA</v>
      </c>
      <c r="E27" s="34" t="s">
        <v>22</v>
      </c>
      <c r="F27" s="14" t="str">
        <f>IF(C27="NA", "NA", C27/$C$29)</f>
        <v>NA</v>
      </c>
      <c r="G27" s="17"/>
      <c r="H27" s="21"/>
      <c r="I27" s="13"/>
      <c r="J27" s="40"/>
      <c r="K27" s="49"/>
      <c r="L27" s="21"/>
      <c r="M27" s="45"/>
      <c r="N27" s="1"/>
      <c r="O27" s="43"/>
      <c r="P27" s="1"/>
      <c r="Q27" s="49"/>
    </row>
    <row r="28" spans="2:17" x14ac:dyDescent="0.25">
      <c r="B28" s="28"/>
      <c r="C28" s="13"/>
      <c r="D28" s="13"/>
      <c r="E28" s="34"/>
      <c r="F28" s="13"/>
      <c r="G28" s="17"/>
      <c r="H28" s="21"/>
      <c r="I28" s="13"/>
      <c r="J28" s="40"/>
      <c r="K28" s="49"/>
      <c r="L28" s="21"/>
      <c r="M28" s="45"/>
      <c r="N28" s="1"/>
      <c r="O28" s="43"/>
      <c r="P28" s="1"/>
      <c r="Q28" s="49"/>
    </row>
    <row r="29" spans="2:17" x14ac:dyDescent="0.25">
      <c r="B29" s="29" t="s">
        <v>43</v>
      </c>
      <c r="C29" s="4">
        <f>SUM(C25,C27)</f>
        <v>12804249.406086423</v>
      </c>
      <c r="D29" s="5">
        <f>SUM(D27,D25)</f>
        <v>15719508.203609448</v>
      </c>
      <c r="E29" s="35"/>
      <c r="F29" s="6"/>
      <c r="G29" s="19"/>
      <c r="H29" s="22"/>
      <c r="I29" s="6"/>
      <c r="J29" s="41"/>
      <c r="K29" s="50"/>
      <c r="L29" s="22"/>
      <c r="M29" s="46"/>
      <c r="N29" s="6"/>
      <c r="O29" s="41"/>
      <c r="P29" s="6"/>
      <c r="Q29" s="50"/>
    </row>
    <row r="30" spans="2:17" x14ac:dyDescent="0.25">
      <c r="B30" s="2" t="s">
        <v>44</v>
      </c>
      <c r="C30" s="1">
        <f>_xlfn.XLOOKUP("Total Parcel Area", 'City Engine Data'!$A:$A, 'City Engine Data'!$D:$D, "NA") /43560</f>
        <v>225.78718746552275</v>
      </c>
      <c r="D30" s="1"/>
      <c r="E30" s="37"/>
      <c r="F30" s="1"/>
      <c r="G30" s="1"/>
      <c r="H30" s="1"/>
      <c r="I30" s="1"/>
      <c r="J30" s="43"/>
      <c r="K30" s="43"/>
      <c r="L30" s="1"/>
      <c r="M30" s="37"/>
      <c r="N30" s="1"/>
      <c r="O30" s="43"/>
      <c r="P30" s="1"/>
      <c r="Q30" s="43"/>
    </row>
  </sheetData>
  <mergeCells count="5">
    <mergeCell ref="C3:G3"/>
    <mergeCell ref="H3:K3"/>
    <mergeCell ref="L3:M3"/>
    <mergeCell ref="O3:P3"/>
    <mergeCell ref="L2:Q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13D90-97B7-4BC9-BA09-EE1562B10245}">
  <dimension ref="A1:K38"/>
  <sheetViews>
    <sheetView topLeftCell="A4" workbookViewId="0">
      <selection activeCell="A27" sqref="A27"/>
    </sheetView>
  </sheetViews>
  <sheetFormatPr defaultRowHeight="15" x14ac:dyDescent="0.25"/>
  <cols>
    <col min="1" max="1" width="27" bestFit="1" customWidth="1"/>
    <col min="2" max="2" width="5" bestFit="1" customWidth="1"/>
    <col min="3" max="3" width="2.5703125" bestFit="1" customWidth="1"/>
    <col min="4" max="4" width="12" bestFit="1" customWidth="1"/>
    <col min="6" max="8" width="12" bestFit="1" customWidth="1"/>
    <col min="11" max="11" width="23.7109375" customWidth="1"/>
  </cols>
  <sheetData>
    <row r="1" spans="1:11" x14ac:dyDescent="0.25">
      <c r="A1" s="31" t="s">
        <v>46</v>
      </c>
      <c r="B1" s="31" t="s">
        <v>47</v>
      </c>
      <c r="C1" s="31" t="s">
        <v>48</v>
      </c>
      <c r="D1" s="31" t="s">
        <v>49</v>
      </c>
      <c r="E1" s="31" t="s">
        <v>48</v>
      </c>
      <c r="F1" s="31" t="s">
        <v>50</v>
      </c>
      <c r="G1" s="31" t="s">
        <v>51</v>
      </c>
      <c r="H1" s="31" t="s">
        <v>52</v>
      </c>
      <c r="I1" s="31" t="s">
        <v>53</v>
      </c>
      <c r="K1" s="31"/>
    </row>
    <row r="2" spans="1:11" x14ac:dyDescent="0.25">
      <c r="A2" t="s">
        <v>113</v>
      </c>
      <c r="B2">
        <v>166</v>
      </c>
      <c r="C2">
        <v>0</v>
      </c>
      <c r="D2">
        <v>159078.520718154</v>
      </c>
      <c r="E2">
        <v>0</v>
      </c>
      <c r="F2">
        <v>958.30434167562998</v>
      </c>
      <c r="G2">
        <v>28.843963328073801</v>
      </c>
      <c r="H2">
        <v>5574.5020079121005</v>
      </c>
      <c r="I2">
        <v>0</v>
      </c>
      <c r="K2" s="31"/>
    </row>
    <row r="3" spans="1:11" x14ac:dyDescent="0.25">
      <c r="A3" t="s">
        <v>54</v>
      </c>
      <c r="B3">
        <v>80</v>
      </c>
      <c r="C3">
        <v>0</v>
      </c>
      <c r="D3">
        <v>2312901.13482391</v>
      </c>
      <c r="E3">
        <v>0</v>
      </c>
      <c r="F3">
        <v>28911.2641852989</v>
      </c>
      <c r="G3">
        <v>97.331515939235203</v>
      </c>
      <c r="H3">
        <v>147406.732297546</v>
      </c>
      <c r="I3">
        <v>0</v>
      </c>
    </row>
    <row r="4" spans="1:11" x14ac:dyDescent="0.25">
      <c r="A4" t="s">
        <v>55</v>
      </c>
      <c r="B4">
        <v>58</v>
      </c>
      <c r="C4">
        <v>0</v>
      </c>
      <c r="D4">
        <v>1801789.8355757799</v>
      </c>
      <c r="E4">
        <v>0</v>
      </c>
      <c r="F4">
        <v>31065.341992685899</v>
      </c>
      <c r="G4">
        <v>97.331515939235601</v>
      </c>
      <c r="H4">
        <v>147406.73138593201</v>
      </c>
      <c r="I4">
        <v>0</v>
      </c>
    </row>
    <row r="5" spans="1:11" x14ac:dyDescent="0.25">
      <c r="A5" t="s">
        <v>56</v>
      </c>
      <c r="B5">
        <v>80</v>
      </c>
      <c r="C5">
        <v>0</v>
      </c>
      <c r="D5">
        <v>4625.8022696478301</v>
      </c>
      <c r="E5">
        <v>0</v>
      </c>
      <c r="F5">
        <v>57.822528370597801</v>
      </c>
      <c r="G5">
        <v>0.19466303187847001</v>
      </c>
      <c r="H5">
        <v>294.81346459509302</v>
      </c>
      <c r="I5">
        <v>0</v>
      </c>
    </row>
    <row r="6" spans="1:11" x14ac:dyDescent="0.25">
      <c r="A6" t="s">
        <v>57</v>
      </c>
      <c r="B6">
        <v>58</v>
      </c>
      <c r="C6">
        <v>0</v>
      </c>
      <c r="D6">
        <v>3583440.95226485</v>
      </c>
      <c r="E6">
        <v>0</v>
      </c>
      <c r="F6">
        <v>61783.464694221599</v>
      </c>
      <c r="G6">
        <v>5413.5670994470702</v>
      </c>
      <c r="H6">
        <v>184512.14963199099</v>
      </c>
      <c r="I6">
        <v>0</v>
      </c>
    </row>
    <row r="7" spans="1:11" x14ac:dyDescent="0.25">
      <c r="A7" t="s">
        <v>58</v>
      </c>
      <c r="B7">
        <v>111</v>
      </c>
      <c r="C7">
        <v>0</v>
      </c>
      <c r="D7">
        <v>1857892.0996756</v>
      </c>
      <c r="E7">
        <v>0</v>
      </c>
      <c r="F7">
        <v>16737.7666637441</v>
      </c>
      <c r="G7">
        <v>97.331515939235203</v>
      </c>
      <c r="H7">
        <v>49485.364038503103</v>
      </c>
      <c r="I7">
        <v>0</v>
      </c>
    </row>
    <row r="8" spans="1:11" x14ac:dyDescent="0.25">
      <c r="A8" t="s">
        <v>59</v>
      </c>
      <c r="B8">
        <v>111</v>
      </c>
      <c r="C8">
        <v>0</v>
      </c>
      <c r="D8">
        <v>1857.8920996756001</v>
      </c>
      <c r="E8">
        <v>0</v>
      </c>
      <c r="F8">
        <v>16.7377666637441</v>
      </c>
      <c r="G8">
        <v>9.7331515939235197E-2</v>
      </c>
      <c r="H8">
        <v>49.4853640385031</v>
      </c>
      <c r="I8">
        <v>0</v>
      </c>
    </row>
    <row r="9" spans="1:11" x14ac:dyDescent="0.25">
      <c r="A9" t="s">
        <v>60</v>
      </c>
      <c r="B9">
        <v>47</v>
      </c>
      <c r="C9">
        <v>0</v>
      </c>
      <c r="D9">
        <v>832819.53125568398</v>
      </c>
      <c r="E9">
        <v>0</v>
      </c>
      <c r="F9">
        <v>17719.5644948017</v>
      </c>
      <c r="G9">
        <v>97.331515939235601</v>
      </c>
      <c r="H9">
        <v>49485.368234531401</v>
      </c>
      <c r="I9">
        <v>0</v>
      </c>
    </row>
    <row r="10" spans="1:11" x14ac:dyDescent="0.25">
      <c r="A10" t="s">
        <v>61</v>
      </c>
      <c r="B10">
        <v>47</v>
      </c>
      <c r="C10">
        <v>0</v>
      </c>
      <c r="D10">
        <v>1731603.4075090301</v>
      </c>
      <c r="E10">
        <v>0</v>
      </c>
      <c r="F10">
        <v>36842.625691681496</v>
      </c>
      <c r="G10">
        <v>5413.5670994470702</v>
      </c>
      <c r="H10">
        <v>104960.824902395</v>
      </c>
      <c r="I10">
        <v>0</v>
      </c>
    </row>
    <row r="11" spans="1:11" x14ac:dyDescent="0.25">
      <c r="A11" t="s">
        <v>62</v>
      </c>
      <c r="B11">
        <v>59</v>
      </c>
      <c r="C11">
        <v>0</v>
      </c>
      <c r="D11">
        <v>1403984.1333485399</v>
      </c>
      <c r="E11">
        <v>0</v>
      </c>
      <c r="F11">
        <v>23796.3412431957</v>
      </c>
      <c r="G11">
        <v>9561.5122589572202</v>
      </c>
      <c r="H11">
        <v>62640.124296005502</v>
      </c>
      <c r="I11">
        <v>0</v>
      </c>
    </row>
    <row r="12" spans="1:11" x14ac:dyDescent="0.25">
      <c r="A12" t="s">
        <v>63</v>
      </c>
      <c r="B12">
        <v>24</v>
      </c>
      <c r="C12">
        <v>0</v>
      </c>
      <c r="D12">
        <v>647539.92972905503</v>
      </c>
      <c r="E12">
        <v>0</v>
      </c>
      <c r="F12">
        <v>26980.830405377299</v>
      </c>
      <c r="G12">
        <v>9561.5122589572293</v>
      </c>
      <c r="H12">
        <v>62640.111007708103</v>
      </c>
      <c r="I12">
        <v>0</v>
      </c>
      <c r="K12" s="31"/>
    </row>
    <row r="13" spans="1:11" x14ac:dyDescent="0.25">
      <c r="A13" t="s">
        <v>64</v>
      </c>
      <c r="B13">
        <v>59</v>
      </c>
      <c r="C13">
        <v>0</v>
      </c>
      <c r="D13">
        <v>4219.1220966390001</v>
      </c>
      <c r="E13">
        <v>0</v>
      </c>
      <c r="F13">
        <v>71.5105440108305</v>
      </c>
      <c r="G13">
        <v>28.7132500268985</v>
      </c>
      <c r="H13">
        <v>188.108481369386</v>
      </c>
      <c r="I13">
        <v>0</v>
      </c>
    </row>
    <row r="14" spans="1:11" x14ac:dyDescent="0.25">
      <c r="A14" t="s">
        <v>65</v>
      </c>
      <c r="B14">
        <v>24</v>
      </c>
      <c r="C14">
        <v>0</v>
      </c>
      <c r="D14">
        <v>1316487.1526760799</v>
      </c>
      <c r="E14">
        <v>0</v>
      </c>
      <c r="F14">
        <v>54853.631361503401</v>
      </c>
      <c r="G14">
        <v>24186.661713852001</v>
      </c>
      <c r="H14">
        <v>184512.14963199099</v>
      </c>
      <c r="I14">
        <v>0</v>
      </c>
    </row>
    <row r="15" spans="1:11" x14ac:dyDescent="0.25">
      <c r="A15" t="s">
        <v>114</v>
      </c>
      <c r="B15">
        <v>198</v>
      </c>
      <c r="C15">
        <v>0</v>
      </c>
      <c r="D15">
        <v>917.33635445237098</v>
      </c>
      <c r="E15">
        <v>0</v>
      </c>
      <c r="F15">
        <v>4.6330118911735898</v>
      </c>
      <c r="G15">
        <v>0.93793355505028597</v>
      </c>
      <c r="H15">
        <v>12.2586790850097</v>
      </c>
      <c r="I15">
        <v>0</v>
      </c>
    </row>
    <row r="16" spans="1:11" x14ac:dyDescent="0.25">
      <c r="A16" t="s">
        <v>115</v>
      </c>
      <c r="B16">
        <v>198</v>
      </c>
      <c r="C16">
        <v>0</v>
      </c>
      <c r="D16">
        <v>366934.541780948</v>
      </c>
      <c r="E16">
        <v>0</v>
      </c>
      <c r="F16">
        <v>1853.2047564694301</v>
      </c>
      <c r="G16">
        <v>375.173422020114</v>
      </c>
      <c r="H16">
        <v>4903.4716340038904</v>
      </c>
      <c r="I16">
        <v>0</v>
      </c>
    </row>
    <row r="17" spans="1:11" x14ac:dyDescent="0.25">
      <c r="A17" t="s">
        <v>66</v>
      </c>
      <c r="B17">
        <v>145</v>
      </c>
      <c r="C17">
        <v>0</v>
      </c>
      <c r="D17">
        <v>3442777.1608805298</v>
      </c>
      <c r="E17">
        <v>0</v>
      </c>
      <c r="F17">
        <v>23743.290764693302</v>
      </c>
      <c r="G17">
        <v>1168.15075498127</v>
      </c>
      <c r="H17">
        <v>872589.75827883405</v>
      </c>
      <c r="I17">
        <v>0</v>
      </c>
    </row>
    <row r="18" spans="1:11" x14ac:dyDescent="0.25">
      <c r="A18" t="s">
        <v>67</v>
      </c>
      <c r="B18">
        <v>7</v>
      </c>
      <c r="C18">
        <v>0</v>
      </c>
      <c r="D18">
        <v>197591.934450306</v>
      </c>
      <c r="E18">
        <v>0</v>
      </c>
      <c r="F18">
        <v>28227.419207186598</v>
      </c>
      <c r="G18">
        <v>17726.200862537</v>
      </c>
      <c r="H18">
        <v>46313.689697353402</v>
      </c>
      <c r="I18">
        <v>0</v>
      </c>
    </row>
    <row r="19" spans="1:11" x14ac:dyDescent="0.25">
      <c r="A19" t="s">
        <v>68</v>
      </c>
      <c r="B19">
        <v>29</v>
      </c>
      <c r="C19">
        <v>0</v>
      </c>
      <c r="D19">
        <v>1336090.07588125</v>
      </c>
      <c r="E19">
        <v>0</v>
      </c>
      <c r="F19">
        <v>46072.071582112199</v>
      </c>
      <c r="G19">
        <v>8128.4840742965998</v>
      </c>
      <c r="H19">
        <v>163018.08197287499</v>
      </c>
      <c r="I19">
        <v>0</v>
      </c>
    </row>
    <row r="20" spans="1:11" x14ac:dyDescent="0.25">
      <c r="A20" t="s">
        <v>116</v>
      </c>
      <c r="B20">
        <v>895</v>
      </c>
      <c r="C20">
        <v>0</v>
      </c>
      <c r="D20">
        <v>3144699.95128626</v>
      </c>
      <c r="E20">
        <v>0</v>
      </c>
      <c r="F20">
        <v>3513.63123048744</v>
      </c>
      <c r="G20">
        <v>0.96767652755752798</v>
      </c>
      <c r="H20">
        <v>29417.956062368299</v>
      </c>
      <c r="I20">
        <v>0</v>
      </c>
    </row>
    <row r="21" spans="1:11" x14ac:dyDescent="0.25">
      <c r="A21" t="s">
        <v>82</v>
      </c>
      <c r="B21">
        <v>502</v>
      </c>
      <c r="C21">
        <v>0</v>
      </c>
      <c r="D21">
        <v>527832.65720933594</v>
      </c>
      <c r="E21">
        <v>0</v>
      </c>
      <c r="F21">
        <v>1051.4594765126201</v>
      </c>
      <c r="G21">
        <v>512.292273314049</v>
      </c>
      <c r="H21">
        <v>1895.0585294739501</v>
      </c>
      <c r="I21">
        <v>0</v>
      </c>
    </row>
    <row r="22" spans="1:11" x14ac:dyDescent="0.25">
      <c r="A22" t="s">
        <v>69</v>
      </c>
      <c r="B22">
        <v>251</v>
      </c>
      <c r="C22">
        <v>0</v>
      </c>
      <c r="D22">
        <v>263916.33863768802</v>
      </c>
      <c r="E22">
        <v>0</v>
      </c>
      <c r="F22">
        <v>1051.4595164848099</v>
      </c>
      <c r="G22">
        <v>512.29240483392596</v>
      </c>
      <c r="H22">
        <v>1895.0585294739601</v>
      </c>
      <c r="I22">
        <v>0</v>
      </c>
      <c r="K22" s="31"/>
    </row>
    <row r="23" spans="1:11" x14ac:dyDescent="0.25">
      <c r="A23" t="s">
        <v>70</v>
      </c>
      <c r="B23">
        <v>251</v>
      </c>
      <c r="C23">
        <v>0</v>
      </c>
      <c r="D23">
        <v>800820.656783749</v>
      </c>
      <c r="E23">
        <v>0</v>
      </c>
      <c r="F23">
        <v>3190.52054495517</v>
      </c>
      <c r="G23">
        <v>1878.4413868157201</v>
      </c>
      <c r="H23">
        <v>4164.4128358040398</v>
      </c>
      <c r="I23">
        <v>0</v>
      </c>
    </row>
    <row r="24" spans="1:11" x14ac:dyDescent="0.25">
      <c r="A24" t="s">
        <v>71</v>
      </c>
      <c r="B24">
        <v>502</v>
      </c>
      <c r="C24">
        <v>0</v>
      </c>
      <c r="D24">
        <v>263.91632860466802</v>
      </c>
      <c r="E24">
        <v>0</v>
      </c>
      <c r="F24">
        <v>0.52572973825631097</v>
      </c>
      <c r="G24">
        <v>0.25614613665702402</v>
      </c>
      <c r="H24">
        <v>0.94752926473697896</v>
      </c>
      <c r="I24">
        <v>0</v>
      </c>
    </row>
    <row r="25" spans="1:11" x14ac:dyDescent="0.25">
      <c r="A25" t="s">
        <v>72</v>
      </c>
      <c r="B25">
        <v>651</v>
      </c>
      <c r="C25">
        <v>0</v>
      </c>
      <c r="D25" s="25">
        <v>1690299.08342058</v>
      </c>
      <c r="E25">
        <v>0</v>
      </c>
      <c r="F25">
        <v>2596.4655659302398</v>
      </c>
      <c r="G25">
        <v>268.88013849073599</v>
      </c>
      <c r="H25">
        <v>33099.124591534201</v>
      </c>
      <c r="I25">
        <v>0</v>
      </c>
    </row>
    <row r="26" spans="1:11" x14ac:dyDescent="0.25">
      <c r="A26" t="s">
        <v>117</v>
      </c>
      <c r="B26">
        <v>339</v>
      </c>
      <c r="C26">
        <v>0</v>
      </c>
      <c r="D26" s="25">
        <v>30555.4647672176</v>
      </c>
      <c r="E26">
        <v>0</v>
      </c>
      <c r="F26">
        <v>90.134114357574106</v>
      </c>
      <c r="G26">
        <v>3.3475754261016801</v>
      </c>
      <c r="H26">
        <v>751.51037597656205</v>
      </c>
      <c r="I26">
        <v>0</v>
      </c>
    </row>
    <row r="27" spans="1:11" x14ac:dyDescent="0.25">
      <c r="A27" t="s">
        <v>118</v>
      </c>
      <c r="B27">
        <v>20</v>
      </c>
      <c r="C27">
        <v>0</v>
      </c>
      <c r="D27">
        <v>556306.34211415495</v>
      </c>
      <c r="E27">
        <v>0</v>
      </c>
      <c r="F27">
        <v>27815.317105707702</v>
      </c>
      <c r="G27">
        <v>17726.198977231899</v>
      </c>
      <c r="H27">
        <v>46313.683083192002</v>
      </c>
      <c r="I27">
        <v>0</v>
      </c>
    </row>
    <row r="28" spans="1:11" x14ac:dyDescent="0.25">
      <c r="A28" t="s">
        <v>119</v>
      </c>
      <c r="B28">
        <v>20</v>
      </c>
      <c r="C28">
        <v>0</v>
      </c>
      <c r="D28">
        <v>1390.76585528538</v>
      </c>
      <c r="E28">
        <v>0</v>
      </c>
      <c r="F28">
        <v>69.5382927642694</v>
      </c>
      <c r="G28">
        <v>44.315497443079799</v>
      </c>
      <c r="H28">
        <v>115.78420770798</v>
      </c>
      <c r="I28">
        <v>0</v>
      </c>
    </row>
    <row r="29" spans="1:11" x14ac:dyDescent="0.25">
      <c r="A29" t="s">
        <v>120</v>
      </c>
      <c r="B29">
        <v>306</v>
      </c>
      <c r="C29">
        <v>0</v>
      </c>
      <c r="D29">
        <v>1983889.2763213201</v>
      </c>
      <c r="E29">
        <v>0</v>
      </c>
      <c r="F29">
        <v>6483.2982886317805</v>
      </c>
      <c r="G29">
        <v>31.073397854983799</v>
      </c>
      <c r="H29">
        <v>163018.08197287499</v>
      </c>
      <c r="I29">
        <v>0</v>
      </c>
    </row>
    <row r="30" spans="1:11" x14ac:dyDescent="0.25">
      <c r="A30" t="s">
        <v>121</v>
      </c>
      <c r="B30">
        <v>306</v>
      </c>
      <c r="C30">
        <v>0</v>
      </c>
      <c r="D30" s="25">
        <v>4959.72319080331</v>
      </c>
      <c r="E30">
        <v>0</v>
      </c>
      <c r="F30">
        <v>16.208245721579399</v>
      </c>
      <c r="G30">
        <v>7.7683494637459494E-2</v>
      </c>
      <c r="H30">
        <v>407.54520493218899</v>
      </c>
      <c r="I30">
        <v>0</v>
      </c>
    </row>
    <row r="31" spans="1:11" x14ac:dyDescent="0.25">
      <c r="A31" t="s">
        <v>73</v>
      </c>
      <c r="B31">
        <v>342</v>
      </c>
      <c r="C31">
        <v>0</v>
      </c>
      <c r="D31">
        <v>2596024.2637307099</v>
      </c>
      <c r="E31">
        <v>0</v>
      </c>
      <c r="F31">
        <v>7590.7142214348496</v>
      </c>
      <c r="G31">
        <v>97.331515939235601</v>
      </c>
      <c r="H31">
        <v>147406.73138593201</v>
      </c>
      <c r="I31">
        <v>0</v>
      </c>
    </row>
    <row r="32" spans="1:11" x14ac:dyDescent="0.25">
      <c r="A32" t="s">
        <v>74</v>
      </c>
      <c r="B32">
        <v>342</v>
      </c>
      <c r="C32">
        <v>0</v>
      </c>
      <c r="D32">
        <v>6658916.7130148504</v>
      </c>
      <c r="E32">
        <v>0</v>
      </c>
      <c r="F32">
        <v>19470.516704721798</v>
      </c>
      <c r="G32">
        <v>291.99454781770697</v>
      </c>
      <c r="H32">
        <v>185254.758789413</v>
      </c>
      <c r="I32">
        <v>0</v>
      </c>
    </row>
    <row r="33" spans="1:9" x14ac:dyDescent="0.25">
      <c r="A33" t="s">
        <v>75</v>
      </c>
      <c r="B33">
        <v>186</v>
      </c>
      <c r="C33">
        <v>0</v>
      </c>
      <c r="D33">
        <v>3565068.0670493799</v>
      </c>
      <c r="E33">
        <v>0</v>
      </c>
      <c r="F33">
        <v>19167.032618545101</v>
      </c>
      <c r="G33">
        <v>328.81678406220601</v>
      </c>
      <c r="H33">
        <v>872589.75827883405</v>
      </c>
      <c r="I33">
        <v>0</v>
      </c>
    </row>
    <row r="34" spans="1:9" x14ac:dyDescent="0.25">
      <c r="A34" t="s">
        <v>76</v>
      </c>
      <c r="B34">
        <v>509</v>
      </c>
      <c r="C34">
        <v>0</v>
      </c>
      <c r="D34">
        <v>9835289.8859981708</v>
      </c>
      <c r="E34">
        <v>0</v>
      </c>
      <c r="F34">
        <v>19322.769913552402</v>
      </c>
      <c r="G34">
        <v>1168.15075498127</v>
      </c>
      <c r="H34">
        <v>872589.75827883405</v>
      </c>
      <c r="I34">
        <v>0</v>
      </c>
    </row>
    <row r="35" spans="1:9" x14ac:dyDescent="0.25">
      <c r="A35" t="s">
        <v>77</v>
      </c>
      <c r="B35">
        <v>524</v>
      </c>
      <c r="C35">
        <v>0</v>
      </c>
      <c r="D35">
        <v>2907130.1602164302</v>
      </c>
      <c r="E35">
        <v>0</v>
      </c>
      <c r="F35">
        <v>5547.9583210237197</v>
      </c>
      <c r="G35">
        <v>31.073397854983799</v>
      </c>
      <c r="H35">
        <v>163018.08197287499</v>
      </c>
      <c r="I35">
        <v>0</v>
      </c>
    </row>
    <row r="36" spans="1:9" x14ac:dyDescent="0.25">
      <c r="A36" t="s">
        <v>78</v>
      </c>
      <c r="B36">
        <v>524</v>
      </c>
      <c r="C36">
        <v>0</v>
      </c>
      <c r="D36">
        <v>7267.8254005410799</v>
      </c>
      <c r="E36">
        <v>0</v>
      </c>
      <c r="F36">
        <v>13.8698958025593</v>
      </c>
      <c r="G36">
        <v>7.7683494637459494E-2</v>
      </c>
      <c r="H36">
        <v>407.54520493218899</v>
      </c>
      <c r="I36">
        <v>0</v>
      </c>
    </row>
    <row r="37" spans="1:9" x14ac:dyDescent="0.25">
      <c r="A37" t="s">
        <v>79</v>
      </c>
      <c r="B37">
        <v>673</v>
      </c>
      <c r="C37">
        <v>0</v>
      </c>
      <c r="D37">
        <v>9078120.79428811</v>
      </c>
      <c r="E37">
        <v>0</v>
      </c>
      <c r="F37">
        <v>13489.035355554401</v>
      </c>
      <c r="G37">
        <v>64.184357887556004</v>
      </c>
      <c r="H37">
        <v>230094.11530351799</v>
      </c>
      <c r="I37">
        <v>0</v>
      </c>
    </row>
    <row r="38" spans="1:9" x14ac:dyDescent="0.25">
      <c r="A38" t="s">
        <v>80</v>
      </c>
      <c r="B38">
        <v>1235</v>
      </c>
      <c r="C38">
        <v>0</v>
      </c>
      <c r="D38">
        <v>2024896.8036821999</v>
      </c>
      <c r="E38">
        <v>0</v>
      </c>
      <c r="F38">
        <v>1639.59255358882</v>
      </c>
      <c r="G38">
        <v>30.2247583105305</v>
      </c>
      <c r="H38">
        <v>27938.9652637203</v>
      </c>
      <c r="I38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6EB89-77AC-4FAC-9237-2DB0E90552C5}">
  <dimension ref="A1:E6"/>
  <sheetViews>
    <sheetView workbookViewId="0">
      <selection activeCell="E2" sqref="E2:E6"/>
    </sheetView>
  </sheetViews>
  <sheetFormatPr defaultRowHeight="15" x14ac:dyDescent="0.25"/>
  <cols>
    <col min="2" max="2" width="9.42578125" bestFit="1" customWidth="1"/>
    <col min="3" max="3" width="12" bestFit="1" customWidth="1"/>
  </cols>
  <sheetData>
    <row r="1" spans="1:5" x14ac:dyDescent="0.25">
      <c r="A1" s="53" t="s">
        <v>83</v>
      </c>
      <c r="B1" s="53" t="s">
        <v>84</v>
      </c>
      <c r="C1" s="53" t="s">
        <v>85</v>
      </c>
      <c r="E1" s="53" t="s">
        <v>92</v>
      </c>
    </row>
    <row r="2" spans="1:5" x14ac:dyDescent="0.25">
      <c r="A2" s="53" t="s">
        <v>86</v>
      </c>
      <c r="B2" s="53">
        <v>50000</v>
      </c>
      <c r="C2" s="53">
        <v>145433.20746000001</v>
      </c>
      <c r="E2">
        <f>B2/C2</f>
        <v>0.34380043508118335</v>
      </c>
    </row>
    <row r="3" spans="1:5" x14ac:dyDescent="0.25">
      <c r="A3" s="53" t="s">
        <v>87</v>
      </c>
      <c r="B3" s="53">
        <v>136561</v>
      </c>
      <c r="C3" s="53">
        <v>143701.39477449999</v>
      </c>
      <c r="E3">
        <f t="shared" ref="E3:E6" si="0">B3/C3</f>
        <v>0.95031088747812864</v>
      </c>
    </row>
    <row r="4" spans="1:5" x14ac:dyDescent="0.25">
      <c r="A4" s="53" t="s">
        <v>88</v>
      </c>
      <c r="B4" s="53">
        <v>392967</v>
      </c>
      <c r="C4" s="53">
        <v>534639.57875879901</v>
      </c>
      <c r="E4">
        <f t="shared" si="0"/>
        <v>0.73501292386975681</v>
      </c>
    </row>
    <row r="5" spans="1:5" x14ac:dyDescent="0.25">
      <c r="A5" s="53" t="s">
        <v>89</v>
      </c>
      <c r="B5" s="53">
        <v>2995684</v>
      </c>
      <c r="C5" s="53">
        <v>11349837.260059901</v>
      </c>
      <c r="E5">
        <f t="shared" si="0"/>
        <v>0.26394070076597642</v>
      </c>
    </row>
    <row r="6" spans="1:5" x14ac:dyDescent="0.25">
      <c r="A6" s="53" t="s">
        <v>90</v>
      </c>
      <c r="B6" s="53">
        <v>24014</v>
      </c>
      <c r="C6" s="53">
        <v>76011.681585629995</v>
      </c>
      <c r="E6">
        <f t="shared" si="0"/>
        <v>0.31592512491579777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6BEFC-D9EB-487F-9649-91F8EAD50FE0}">
  <dimension ref="A1:AH25"/>
  <sheetViews>
    <sheetView topLeftCell="F1" workbookViewId="0">
      <selection sqref="A1:AH25"/>
    </sheetView>
  </sheetViews>
  <sheetFormatPr defaultRowHeight="15" x14ac:dyDescent="0.25"/>
  <cols>
    <col min="2" max="2" width="35.140625" bestFit="1" customWidth="1"/>
  </cols>
  <sheetData>
    <row r="1" spans="1:34" x14ac:dyDescent="0.25">
      <c r="B1" t="s">
        <v>125</v>
      </c>
      <c r="C1" t="s">
        <v>126</v>
      </c>
      <c r="D1" t="s">
        <v>127</v>
      </c>
      <c r="E1" t="s">
        <v>128</v>
      </c>
      <c r="F1" t="s">
        <v>129</v>
      </c>
      <c r="G1" t="s">
        <v>130</v>
      </c>
      <c r="H1" t="s">
        <v>131</v>
      </c>
      <c r="I1" t="s">
        <v>132</v>
      </c>
      <c r="J1" t="s">
        <v>133</v>
      </c>
      <c r="K1" t="s">
        <v>134</v>
      </c>
      <c r="L1" t="s">
        <v>135</v>
      </c>
      <c r="M1" t="s">
        <v>136</v>
      </c>
      <c r="N1" t="s">
        <v>137</v>
      </c>
      <c r="O1" t="s">
        <v>138</v>
      </c>
      <c r="P1" t="s">
        <v>139</v>
      </c>
      <c r="Q1" t="s">
        <v>140</v>
      </c>
      <c r="R1" t="s">
        <v>141</v>
      </c>
      <c r="S1" t="s">
        <v>142</v>
      </c>
      <c r="T1" t="s">
        <v>143</v>
      </c>
      <c r="U1" t="s">
        <v>144</v>
      </c>
      <c r="V1" t="s">
        <v>145</v>
      </c>
      <c r="W1" t="s">
        <v>146</v>
      </c>
      <c r="X1" t="s">
        <v>147</v>
      </c>
      <c r="Y1" t="s">
        <v>148</v>
      </c>
      <c r="Z1" t="s">
        <v>149</v>
      </c>
      <c r="AA1" t="s">
        <v>150</v>
      </c>
      <c r="AB1" t="s">
        <v>151</v>
      </c>
      <c r="AC1" t="s">
        <v>152</v>
      </c>
      <c r="AD1" t="s">
        <v>153</v>
      </c>
      <c r="AE1" t="s">
        <v>154</v>
      </c>
      <c r="AF1" t="s">
        <v>155</v>
      </c>
      <c r="AG1" t="s">
        <v>156</v>
      </c>
      <c r="AH1" t="s">
        <v>157</v>
      </c>
    </row>
    <row r="2" spans="1:34" x14ac:dyDescent="0.25">
      <c r="A2">
        <v>1</v>
      </c>
      <c r="B2" t="s">
        <v>158</v>
      </c>
      <c r="C2">
        <v>372331</v>
      </c>
      <c r="D2">
        <v>796448</v>
      </c>
      <c r="E2">
        <v>678562</v>
      </c>
      <c r="F2">
        <v>50600</v>
      </c>
      <c r="G2">
        <v>80722</v>
      </c>
      <c r="H2">
        <v>0</v>
      </c>
      <c r="I2">
        <v>0</v>
      </c>
      <c r="J2">
        <v>0</v>
      </c>
      <c r="K2">
        <v>12250</v>
      </c>
      <c r="L2">
        <v>0</v>
      </c>
      <c r="M2">
        <v>0</v>
      </c>
      <c r="N2">
        <v>40000</v>
      </c>
      <c r="O2">
        <v>1063089</v>
      </c>
      <c r="P2">
        <v>25858</v>
      </c>
      <c r="Q2">
        <v>0</v>
      </c>
      <c r="R2">
        <v>0</v>
      </c>
      <c r="S2">
        <v>106838</v>
      </c>
      <c r="T2">
        <v>0</v>
      </c>
      <c r="U2">
        <v>1435420</v>
      </c>
      <c r="V2">
        <v>822306</v>
      </c>
      <c r="W2">
        <v>690812</v>
      </c>
      <c r="X2">
        <v>50600</v>
      </c>
      <c r="Y2">
        <v>187560</v>
      </c>
      <c r="Z2">
        <v>40000</v>
      </c>
      <c r="AA2">
        <v>813</v>
      </c>
      <c r="AB2">
        <v>0</v>
      </c>
      <c r="AC2">
        <v>581</v>
      </c>
      <c r="AD2">
        <v>1394</v>
      </c>
      <c r="AE2">
        <v>1355</v>
      </c>
      <c r="AF2">
        <v>74</v>
      </c>
      <c r="AG2">
        <v>518</v>
      </c>
      <c r="AH2">
        <v>1947</v>
      </c>
    </row>
    <row r="3" spans="1:34" x14ac:dyDescent="0.25">
      <c r="A3">
        <v>2</v>
      </c>
      <c r="B3" t="s">
        <v>159</v>
      </c>
      <c r="C3">
        <v>2231057</v>
      </c>
      <c r="D3">
        <v>2117106</v>
      </c>
      <c r="E3">
        <v>2202295</v>
      </c>
      <c r="F3">
        <v>0</v>
      </c>
      <c r="G3">
        <v>6524012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5400</v>
      </c>
      <c r="P3">
        <v>72239</v>
      </c>
      <c r="Q3">
        <v>0</v>
      </c>
      <c r="R3">
        <v>0</v>
      </c>
      <c r="S3">
        <v>0</v>
      </c>
      <c r="T3">
        <v>20500</v>
      </c>
      <c r="U3">
        <v>2236457</v>
      </c>
      <c r="V3">
        <v>2189345</v>
      </c>
      <c r="W3">
        <v>2202295</v>
      </c>
      <c r="X3">
        <v>0</v>
      </c>
      <c r="Y3">
        <v>6524012</v>
      </c>
      <c r="Z3">
        <v>20500</v>
      </c>
      <c r="AA3">
        <v>2818</v>
      </c>
      <c r="AB3">
        <v>0</v>
      </c>
      <c r="AC3">
        <v>58</v>
      </c>
      <c r="AD3">
        <v>2876</v>
      </c>
      <c r="AE3">
        <v>34728</v>
      </c>
      <c r="AF3">
        <v>0</v>
      </c>
      <c r="AG3">
        <v>29</v>
      </c>
      <c r="AH3">
        <v>34757</v>
      </c>
    </row>
    <row r="4" spans="1:34" x14ac:dyDescent="0.25">
      <c r="A4">
        <v>3</v>
      </c>
      <c r="B4" t="s">
        <v>160</v>
      </c>
      <c r="C4">
        <v>1391388</v>
      </c>
      <c r="D4">
        <v>500447</v>
      </c>
      <c r="E4">
        <v>1102587</v>
      </c>
      <c r="F4">
        <v>0</v>
      </c>
      <c r="G4">
        <v>6063770</v>
      </c>
      <c r="H4">
        <v>0</v>
      </c>
      <c r="I4">
        <v>0</v>
      </c>
      <c r="J4">
        <v>420000</v>
      </c>
      <c r="K4">
        <v>0</v>
      </c>
      <c r="L4">
        <v>0</v>
      </c>
      <c r="M4">
        <v>0</v>
      </c>
      <c r="N4">
        <v>0</v>
      </c>
      <c r="O4">
        <v>142200</v>
      </c>
      <c r="P4">
        <v>469682</v>
      </c>
      <c r="Q4">
        <v>114513</v>
      </c>
      <c r="R4">
        <v>0</v>
      </c>
      <c r="S4">
        <v>0</v>
      </c>
      <c r="T4">
        <v>0</v>
      </c>
      <c r="U4">
        <v>1533588</v>
      </c>
      <c r="V4">
        <v>1390129</v>
      </c>
      <c r="W4">
        <v>1217100</v>
      </c>
      <c r="X4">
        <v>0</v>
      </c>
      <c r="Y4">
        <v>6063770</v>
      </c>
      <c r="Z4">
        <v>0</v>
      </c>
      <c r="AA4">
        <v>1122</v>
      </c>
      <c r="AB4">
        <v>325</v>
      </c>
      <c r="AC4">
        <v>439</v>
      </c>
      <c r="AD4">
        <v>1886</v>
      </c>
      <c r="AE4">
        <v>30967</v>
      </c>
      <c r="AF4">
        <v>0</v>
      </c>
      <c r="AG4">
        <v>159</v>
      </c>
      <c r="AH4">
        <v>31126</v>
      </c>
    </row>
    <row r="5" spans="1:34" x14ac:dyDescent="0.25">
      <c r="A5">
        <v>4</v>
      </c>
      <c r="B5" t="s">
        <v>161</v>
      </c>
      <c r="C5">
        <v>174083</v>
      </c>
      <c r="D5">
        <v>0</v>
      </c>
      <c r="E5">
        <v>346844</v>
      </c>
      <c r="F5">
        <v>1290012</v>
      </c>
      <c r="G5">
        <v>161898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715123</v>
      </c>
      <c r="P5">
        <v>926966</v>
      </c>
      <c r="Q5">
        <v>107274</v>
      </c>
      <c r="R5">
        <v>0</v>
      </c>
      <c r="S5">
        <v>0</v>
      </c>
      <c r="T5">
        <v>13000</v>
      </c>
      <c r="U5">
        <v>889206</v>
      </c>
      <c r="V5">
        <v>926966</v>
      </c>
      <c r="W5">
        <v>454118</v>
      </c>
      <c r="X5">
        <v>1290012</v>
      </c>
      <c r="Y5">
        <v>161898</v>
      </c>
      <c r="Z5">
        <v>13000</v>
      </c>
      <c r="AA5">
        <v>91</v>
      </c>
      <c r="AB5">
        <v>0</v>
      </c>
      <c r="AC5">
        <v>1095</v>
      </c>
      <c r="AD5">
        <v>1186</v>
      </c>
      <c r="AE5">
        <v>1818</v>
      </c>
      <c r="AF5">
        <v>0</v>
      </c>
      <c r="AG5">
        <v>167</v>
      </c>
      <c r="AH5">
        <v>1985</v>
      </c>
    </row>
    <row r="6" spans="1:34" x14ac:dyDescent="0.25">
      <c r="A6">
        <v>5</v>
      </c>
      <c r="B6" t="s">
        <v>162</v>
      </c>
      <c r="C6">
        <v>917121</v>
      </c>
      <c r="D6">
        <v>682142</v>
      </c>
      <c r="E6">
        <v>641149</v>
      </c>
      <c r="F6">
        <v>924308</v>
      </c>
      <c r="G6">
        <v>754805</v>
      </c>
      <c r="H6">
        <v>0</v>
      </c>
      <c r="I6">
        <v>408600</v>
      </c>
      <c r="J6">
        <v>26400</v>
      </c>
      <c r="K6">
        <v>0</v>
      </c>
      <c r="L6">
        <v>0</v>
      </c>
      <c r="M6">
        <v>3000</v>
      </c>
      <c r="N6">
        <v>0</v>
      </c>
      <c r="O6">
        <v>651600</v>
      </c>
      <c r="P6">
        <v>433642</v>
      </c>
      <c r="Q6">
        <v>58186</v>
      </c>
      <c r="R6">
        <v>0</v>
      </c>
      <c r="S6">
        <v>5340</v>
      </c>
      <c r="T6">
        <v>0</v>
      </c>
      <c r="U6">
        <v>1977321</v>
      </c>
      <c r="V6">
        <v>1142184</v>
      </c>
      <c r="W6">
        <v>699335</v>
      </c>
      <c r="X6">
        <v>924308</v>
      </c>
      <c r="Y6">
        <v>763145</v>
      </c>
      <c r="Z6">
        <v>0</v>
      </c>
      <c r="AA6">
        <v>1012</v>
      </c>
      <c r="AB6">
        <v>236</v>
      </c>
      <c r="AC6">
        <v>679</v>
      </c>
      <c r="AD6">
        <v>1927</v>
      </c>
      <c r="AE6">
        <v>4949</v>
      </c>
      <c r="AF6">
        <v>14</v>
      </c>
      <c r="AG6">
        <v>106</v>
      </c>
      <c r="AH6">
        <v>5069</v>
      </c>
    </row>
    <row r="7" spans="1:34" x14ac:dyDescent="0.25">
      <c r="A7">
        <v>6</v>
      </c>
      <c r="B7" t="s">
        <v>163</v>
      </c>
      <c r="C7">
        <v>801872</v>
      </c>
      <c r="D7">
        <v>1180319</v>
      </c>
      <c r="E7">
        <v>579167</v>
      </c>
      <c r="F7">
        <v>745375</v>
      </c>
      <c r="G7">
        <v>1479312</v>
      </c>
      <c r="H7">
        <v>0</v>
      </c>
      <c r="I7">
        <v>0</v>
      </c>
      <c r="J7">
        <v>83253</v>
      </c>
      <c r="K7">
        <v>0</v>
      </c>
      <c r="L7">
        <v>0</v>
      </c>
      <c r="M7">
        <v>0</v>
      </c>
      <c r="N7">
        <v>0</v>
      </c>
      <c r="O7">
        <v>120600</v>
      </c>
      <c r="P7">
        <v>583573</v>
      </c>
      <c r="Q7">
        <v>244442</v>
      </c>
      <c r="R7">
        <v>0</v>
      </c>
      <c r="S7">
        <v>0</v>
      </c>
      <c r="T7">
        <v>87000</v>
      </c>
      <c r="U7">
        <v>922472</v>
      </c>
      <c r="V7">
        <v>1847145</v>
      </c>
      <c r="W7">
        <v>823609</v>
      </c>
      <c r="X7">
        <v>745375</v>
      </c>
      <c r="Y7">
        <v>1479312</v>
      </c>
      <c r="Z7">
        <v>87000</v>
      </c>
      <c r="AA7">
        <v>1337</v>
      </c>
      <c r="AB7">
        <v>64</v>
      </c>
      <c r="AC7">
        <v>515</v>
      </c>
      <c r="AD7">
        <v>1916</v>
      </c>
      <c r="AE7">
        <v>8303</v>
      </c>
      <c r="AF7">
        <v>0</v>
      </c>
      <c r="AG7">
        <v>463</v>
      </c>
      <c r="AH7">
        <v>8766</v>
      </c>
    </row>
    <row r="8" spans="1:34" x14ac:dyDescent="0.25">
      <c r="A8">
        <v>7</v>
      </c>
      <c r="B8" t="s">
        <v>164</v>
      </c>
      <c r="C8">
        <v>410452</v>
      </c>
      <c r="D8">
        <v>50320</v>
      </c>
      <c r="E8">
        <v>179974</v>
      </c>
      <c r="F8">
        <v>93261</v>
      </c>
      <c r="G8">
        <v>69027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2352020</v>
      </c>
      <c r="P8">
        <v>471939</v>
      </c>
      <c r="Q8">
        <v>143981</v>
      </c>
      <c r="R8">
        <v>0</v>
      </c>
      <c r="S8">
        <v>0</v>
      </c>
      <c r="T8">
        <v>0</v>
      </c>
      <c r="U8">
        <v>2762472</v>
      </c>
      <c r="V8">
        <v>522259</v>
      </c>
      <c r="W8">
        <v>323955</v>
      </c>
      <c r="X8">
        <v>93261</v>
      </c>
      <c r="Y8">
        <v>69027</v>
      </c>
      <c r="Z8">
        <v>0</v>
      </c>
      <c r="AA8">
        <v>255</v>
      </c>
      <c r="AB8">
        <v>0</v>
      </c>
      <c r="AC8">
        <v>1607</v>
      </c>
      <c r="AD8">
        <v>1862</v>
      </c>
      <c r="AE8">
        <v>624</v>
      </c>
      <c r="AF8">
        <v>0</v>
      </c>
      <c r="AG8">
        <v>199</v>
      </c>
      <c r="AH8">
        <v>823</v>
      </c>
    </row>
    <row r="9" spans="1:34" x14ac:dyDescent="0.25">
      <c r="A9">
        <v>8</v>
      </c>
      <c r="B9" t="s">
        <v>165</v>
      </c>
      <c r="C9">
        <v>323359</v>
      </c>
      <c r="D9">
        <v>416529</v>
      </c>
      <c r="E9">
        <v>413896</v>
      </c>
      <c r="F9">
        <v>0</v>
      </c>
      <c r="G9">
        <v>3817180</v>
      </c>
      <c r="H9">
        <v>0</v>
      </c>
      <c r="I9">
        <v>0</v>
      </c>
      <c r="J9">
        <v>120000</v>
      </c>
      <c r="K9">
        <v>64976</v>
      </c>
      <c r="L9">
        <v>0</v>
      </c>
      <c r="M9">
        <v>0</v>
      </c>
      <c r="N9">
        <v>187500</v>
      </c>
      <c r="O9">
        <v>0</v>
      </c>
      <c r="P9">
        <v>402330</v>
      </c>
      <c r="Q9">
        <v>0</v>
      </c>
      <c r="R9">
        <v>0</v>
      </c>
      <c r="S9">
        <v>172069</v>
      </c>
      <c r="T9">
        <v>62500</v>
      </c>
      <c r="U9">
        <v>323359</v>
      </c>
      <c r="V9">
        <v>938859</v>
      </c>
      <c r="W9">
        <v>478872</v>
      </c>
      <c r="X9">
        <v>0</v>
      </c>
      <c r="Y9">
        <v>3989249</v>
      </c>
      <c r="Z9">
        <v>250000</v>
      </c>
      <c r="AA9">
        <v>493</v>
      </c>
      <c r="AB9">
        <v>93</v>
      </c>
      <c r="AC9">
        <v>311</v>
      </c>
      <c r="AD9">
        <v>897</v>
      </c>
      <c r="AE9">
        <v>19104</v>
      </c>
      <c r="AF9">
        <v>358</v>
      </c>
      <c r="AG9">
        <v>924</v>
      </c>
      <c r="AH9">
        <v>20386</v>
      </c>
    </row>
    <row r="10" spans="1:34" x14ac:dyDescent="0.25">
      <c r="A10">
        <v>9</v>
      </c>
      <c r="B10" t="s">
        <v>166</v>
      </c>
      <c r="C10">
        <v>2124945</v>
      </c>
      <c r="D10">
        <v>1702799</v>
      </c>
      <c r="E10">
        <v>1028304</v>
      </c>
      <c r="F10">
        <v>314975</v>
      </c>
      <c r="G10">
        <v>2522502</v>
      </c>
      <c r="H10">
        <v>0</v>
      </c>
      <c r="I10">
        <v>136800</v>
      </c>
      <c r="J10">
        <v>1988400</v>
      </c>
      <c r="K10">
        <v>0</v>
      </c>
      <c r="L10">
        <v>0</v>
      </c>
      <c r="M10">
        <v>80000</v>
      </c>
      <c r="N10">
        <v>125000</v>
      </c>
      <c r="O10">
        <v>59400</v>
      </c>
      <c r="P10">
        <v>1947575</v>
      </c>
      <c r="Q10">
        <v>135906</v>
      </c>
      <c r="R10">
        <v>0</v>
      </c>
      <c r="S10">
        <v>0</v>
      </c>
      <c r="T10">
        <v>0</v>
      </c>
      <c r="U10">
        <v>2321145</v>
      </c>
      <c r="V10">
        <v>5638774</v>
      </c>
      <c r="W10">
        <v>1164210</v>
      </c>
      <c r="X10">
        <v>314975</v>
      </c>
      <c r="Y10">
        <v>2602502</v>
      </c>
      <c r="Z10">
        <v>125000</v>
      </c>
      <c r="AA10">
        <v>2441</v>
      </c>
      <c r="AB10">
        <v>1613</v>
      </c>
      <c r="AC10">
        <v>1540</v>
      </c>
      <c r="AD10">
        <v>5594</v>
      </c>
      <c r="AE10">
        <v>13807</v>
      </c>
      <c r="AF10">
        <v>566</v>
      </c>
      <c r="AG10">
        <v>188</v>
      </c>
      <c r="AH10">
        <v>14561</v>
      </c>
    </row>
    <row r="11" spans="1:34" x14ac:dyDescent="0.25">
      <c r="A11">
        <v>10</v>
      </c>
      <c r="B11" t="s">
        <v>167</v>
      </c>
      <c r="C11">
        <v>2559955</v>
      </c>
      <c r="D11">
        <v>1806209</v>
      </c>
      <c r="E11">
        <v>2141376</v>
      </c>
      <c r="F11">
        <v>104276</v>
      </c>
      <c r="G11">
        <v>4435401</v>
      </c>
      <c r="H11">
        <v>0</v>
      </c>
      <c r="I11">
        <v>0</v>
      </c>
      <c r="J11">
        <v>480000</v>
      </c>
      <c r="K11">
        <v>0</v>
      </c>
      <c r="L11">
        <v>0</v>
      </c>
      <c r="M11">
        <v>0</v>
      </c>
      <c r="N11">
        <v>299000</v>
      </c>
      <c r="O11">
        <v>111600</v>
      </c>
      <c r="P11">
        <v>211842</v>
      </c>
      <c r="Q11">
        <v>0</v>
      </c>
      <c r="R11">
        <v>0</v>
      </c>
      <c r="S11">
        <v>0</v>
      </c>
      <c r="T11">
        <v>0</v>
      </c>
      <c r="U11">
        <v>2671555</v>
      </c>
      <c r="V11">
        <v>2498051</v>
      </c>
      <c r="W11">
        <v>2141376</v>
      </c>
      <c r="X11">
        <v>104276</v>
      </c>
      <c r="Y11">
        <v>4435401</v>
      </c>
      <c r="Z11">
        <v>299000</v>
      </c>
      <c r="AA11">
        <v>2750</v>
      </c>
      <c r="AB11">
        <v>372</v>
      </c>
      <c r="AC11">
        <v>223</v>
      </c>
      <c r="AD11">
        <v>3345</v>
      </c>
      <c r="AE11">
        <v>24549</v>
      </c>
      <c r="AF11">
        <v>427</v>
      </c>
      <c r="AG11">
        <v>0</v>
      </c>
      <c r="AH11">
        <v>24976</v>
      </c>
    </row>
    <row r="12" spans="1:34" x14ac:dyDescent="0.25">
      <c r="A12">
        <v>11</v>
      </c>
      <c r="B12" t="s">
        <v>168</v>
      </c>
      <c r="C12">
        <v>1065513</v>
      </c>
      <c r="D12">
        <v>474152</v>
      </c>
      <c r="E12">
        <v>678819</v>
      </c>
      <c r="F12">
        <v>354573</v>
      </c>
      <c r="G12">
        <v>3112832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675000</v>
      </c>
      <c r="P12">
        <v>823635</v>
      </c>
      <c r="Q12">
        <v>78534</v>
      </c>
      <c r="R12">
        <v>0</v>
      </c>
      <c r="S12">
        <v>0</v>
      </c>
      <c r="T12">
        <v>57000</v>
      </c>
      <c r="U12">
        <v>1740513</v>
      </c>
      <c r="V12">
        <v>1297787</v>
      </c>
      <c r="W12">
        <v>757353</v>
      </c>
      <c r="X12">
        <v>354573</v>
      </c>
      <c r="Y12">
        <v>3112832</v>
      </c>
      <c r="Z12">
        <v>57000</v>
      </c>
      <c r="AA12">
        <v>929</v>
      </c>
      <c r="AB12">
        <v>0</v>
      </c>
      <c r="AC12">
        <v>994</v>
      </c>
      <c r="AD12">
        <v>1923</v>
      </c>
      <c r="AE12">
        <v>16205</v>
      </c>
      <c r="AF12">
        <v>0</v>
      </c>
      <c r="AG12">
        <v>190</v>
      </c>
      <c r="AH12">
        <v>16395</v>
      </c>
    </row>
    <row r="13" spans="1:34" x14ac:dyDescent="0.25">
      <c r="A13">
        <v>12</v>
      </c>
      <c r="B13" t="s">
        <v>169</v>
      </c>
      <c r="C13">
        <v>283205</v>
      </c>
      <c r="D13">
        <v>1449117</v>
      </c>
      <c r="E13">
        <v>2695801</v>
      </c>
      <c r="F13">
        <v>0</v>
      </c>
      <c r="G13">
        <v>307847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680480</v>
      </c>
      <c r="P13">
        <v>389585</v>
      </c>
      <c r="Q13">
        <v>0</v>
      </c>
      <c r="R13">
        <v>26840</v>
      </c>
      <c r="S13">
        <v>130891</v>
      </c>
      <c r="T13">
        <v>29000</v>
      </c>
      <c r="U13">
        <v>963685</v>
      </c>
      <c r="V13">
        <v>1838702</v>
      </c>
      <c r="W13">
        <v>2695801</v>
      </c>
      <c r="X13">
        <v>26840</v>
      </c>
      <c r="Y13">
        <v>438738</v>
      </c>
      <c r="Z13">
        <v>29000</v>
      </c>
      <c r="AA13">
        <v>1272</v>
      </c>
      <c r="AB13">
        <v>0</v>
      </c>
      <c r="AC13">
        <v>661</v>
      </c>
      <c r="AD13">
        <v>1933</v>
      </c>
      <c r="AE13">
        <v>5238</v>
      </c>
      <c r="AF13">
        <v>0</v>
      </c>
      <c r="AG13">
        <v>688</v>
      </c>
      <c r="AH13">
        <v>5926</v>
      </c>
    </row>
    <row r="14" spans="1:34" x14ac:dyDescent="0.25">
      <c r="A14">
        <v>13</v>
      </c>
      <c r="B14" t="s">
        <v>170</v>
      </c>
      <c r="C14">
        <v>2782361</v>
      </c>
      <c r="D14">
        <v>19975</v>
      </c>
      <c r="E14">
        <v>701498</v>
      </c>
      <c r="F14">
        <v>50229</v>
      </c>
      <c r="G14">
        <v>980180</v>
      </c>
      <c r="H14">
        <v>0</v>
      </c>
      <c r="I14">
        <v>0</v>
      </c>
      <c r="J14">
        <v>0</v>
      </c>
      <c r="K14">
        <v>15000</v>
      </c>
      <c r="L14">
        <v>0</v>
      </c>
      <c r="M14">
        <v>0</v>
      </c>
      <c r="N14">
        <v>0</v>
      </c>
      <c r="O14">
        <v>306000</v>
      </c>
      <c r="P14">
        <v>246296</v>
      </c>
      <c r="Q14">
        <v>0</v>
      </c>
      <c r="R14">
        <v>3033</v>
      </c>
      <c r="S14">
        <v>0</v>
      </c>
      <c r="T14">
        <v>0</v>
      </c>
      <c r="U14">
        <v>3088361</v>
      </c>
      <c r="V14">
        <v>266271</v>
      </c>
      <c r="W14">
        <v>716498</v>
      </c>
      <c r="X14">
        <v>53262</v>
      </c>
      <c r="Y14">
        <v>980180</v>
      </c>
      <c r="Z14">
        <v>0</v>
      </c>
      <c r="AA14">
        <v>1483</v>
      </c>
      <c r="AB14">
        <v>0</v>
      </c>
      <c r="AC14">
        <v>352</v>
      </c>
      <c r="AD14">
        <v>1835</v>
      </c>
      <c r="AE14">
        <v>5753</v>
      </c>
      <c r="AF14">
        <v>20</v>
      </c>
      <c r="AG14">
        <v>1</v>
      </c>
      <c r="AH14">
        <v>5774</v>
      </c>
    </row>
    <row r="15" spans="1:34" x14ac:dyDescent="0.25">
      <c r="A15">
        <v>14</v>
      </c>
      <c r="B15" t="s">
        <v>171</v>
      </c>
      <c r="C15">
        <v>902384</v>
      </c>
      <c r="D15">
        <v>351010</v>
      </c>
      <c r="E15">
        <v>1290409</v>
      </c>
      <c r="F15">
        <v>562761</v>
      </c>
      <c r="G15">
        <v>1246527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282600</v>
      </c>
      <c r="P15">
        <v>314723</v>
      </c>
      <c r="Q15">
        <v>0</v>
      </c>
      <c r="R15">
        <v>0</v>
      </c>
      <c r="S15">
        <v>201760</v>
      </c>
      <c r="T15">
        <v>1000</v>
      </c>
      <c r="U15">
        <v>1184984</v>
      </c>
      <c r="V15">
        <v>665733</v>
      </c>
      <c r="W15">
        <v>1290409</v>
      </c>
      <c r="X15">
        <v>562761</v>
      </c>
      <c r="Y15">
        <v>1448287</v>
      </c>
      <c r="Z15">
        <v>1000</v>
      </c>
      <c r="AA15">
        <v>748</v>
      </c>
      <c r="AB15">
        <v>0</v>
      </c>
      <c r="AC15">
        <v>393</v>
      </c>
      <c r="AD15">
        <v>1141</v>
      </c>
      <c r="AE15">
        <v>8083</v>
      </c>
      <c r="AF15">
        <v>0</v>
      </c>
      <c r="AG15">
        <v>980</v>
      </c>
      <c r="AH15">
        <v>9063</v>
      </c>
    </row>
    <row r="16" spans="1:34" x14ac:dyDescent="0.25">
      <c r="A16">
        <v>15</v>
      </c>
      <c r="B16" t="s">
        <v>172</v>
      </c>
      <c r="C16">
        <v>1512204</v>
      </c>
      <c r="D16">
        <v>411865</v>
      </c>
      <c r="E16">
        <v>544942</v>
      </c>
      <c r="F16">
        <v>95359</v>
      </c>
      <c r="G16">
        <v>1461345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153000</v>
      </c>
      <c r="P16">
        <v>0</v>
      </c>
      <c r="Q16">
        <v>0</v>
      </c>
      <c r="R16">
        <v>0</v>
      </c>
      <c r="S16">
        <v>0</v>
      </c>
      <c r="T16">
        <v>0</v>
      </c>
      <c r="U16">
        <v>1665204</v>
      </c>
      <c r="V16">
        <v>411865</v>
      </c>
      <c r="W16">
        <v>544942</v>
      </c>
      <c r="X16">
        <v>95359</v>
      </c>
      <c r="Y16">
        <v>1461345</v>
      </c>
      <c r="Z16">
        <v>0</v>
      </c>
      <c r="AA16">
        <v>1117</v>
      </c>
      <c r="AB16">
        <v>0</v>
      </c>
      <c r="AC16">
        <v>80</v>
      </c>
      <c r="AD16">
        <v>1197</v>
      </c>
      <c r="AE16">
        <v>7891</v>
      </c>
      <c r="AF16">
        <v>0</v>
      </c>
      <c r="AG16">
        <v>0</v>
      </c>
      <c r="AH16">
        <v>7891</v>
      </c>
    </row>
    <row r="17" spans="1:34" x14ac:dyDescent="0.25">
      <c r="A17">
        <v>16</v>
      </c>
      <c r="B17" t="s">
        <v>173</v>
      </c>
      <c r="C17">
        <v>474919</v>
      </c>
      <c r="D17">
        <v>16877</v>
      </c>
      <c r="E17">
        <v>635957</v>
      </c>
      <c r="F17">
        <v>366413</v>
      </c>
      <c r="G17">
        <v>76323</v>
      </c>
      <c r="H17">
        <v>0</v>
      </c>
      <c r="I17">
        <v>135000</v>
      </c>
      <c r="J17">
        <v>3463269</v>
      </c>
      <c r="K17">
        <v>420000</v>
      </c>
      <c r="L17">
        <v>0</v>
      </c>
      <c r="M17">
        <v>890000</v>
      </c>
      <c r="N17">
        <v>0</v>
      </c>
      <c r="O17">
        <v>1537427</v>
      </c>
      <c r="P17">
        <v>0</v>
      </c>
      <c r="Q17">
        <v>0</v>
      </c>
      <c r="R17">
        <v>0</v>
      </c>
      <c r="S17">
        <v>0</v>
      </c>
      <c r="T17">
        <v>0</v>
      </c>
      <c r="U17">
        <v>2147346</v>
      </c>
      <c r="V17">
        <v>3480146</v>
      </c>
      <c r="W17">
        <v>1055957</v>
      </c>
      <c r="X17">
        <v>366413</v>
      </c>
      <c r="Y17">
        <v>966323</v>
      </c>
      <c r="Z17">
        <v>0</v>
      </c>
      <c r="AA17">
        <v>263</v>
      </c>
      <c r="AB17">
        <v>2755</v>
      </c>
      <c r="AC17">
        <v>811</v>
      </c>
      <c r="AD17">
        <v>3829</v>
      </c>
      <c r="AE17">
        <v>1410</v>
      </c>
      <c r="AF17">
        <v>4903</v>
      </c>
      <c r="AG17">
        <v>0</v>
      </c>
      <c r="AH17">
        <v>6313</v>
      </c>
    </row>
    <row r="18" spans="1:34" x14ac:dyDescent="0.25">
      <c r="A18">
        <v>17</v>
      </c>
      <c r="B18" t="s">
        <v>174</v>
      </c>
      <c r="C18">
        <v>867174</v>
      </c>
      <c r="D18">
        <v>1348090</v>
      </c>
      <c r="E18">
        <v>505867</v>
      </c>
      <c r="F18">
        <v>313729</v>
      </c>
      <c r="G18">
        <v>1590104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82800</v>
      </c>
      <c r="P18">
        <v>786000</v>
      </c>
      <c r="Q18">
        <v>141431</v>
      </c>
      <c r="R18">
        <v>0</v>
      </c>
      <c r="S18">
        <v>0</v>
      </c>
      <c r="T18">
        <v>0</v>
      </c>
      <c r="U18">
        <v>949974</v>
      </c>
      <c r="V18">
        <v>2134090</v>
      </c>
      <c r="W18">
        <v>647298</v>
      </c>
      <c r="X18">
        <v>313729</v>
      </c>
      <c r="Y18">
        <v>1590104</v>
      </c>
      <c r="Z18">
        <v>0</v>
      </c>
      <c r="AA18">
        <v>1502</v>
      </c>
      <c r="AB18">
        <v>0</v>
      </c>
      <c r="AC18">
        <v>652</v>
      </c>
      <c r="AD18">
        <v>2154</v>
      </c>
      <c r="AE18">
        <v>8555</v>
      </c>
      <c r="AF18">
        <v>0</v>
      </c>
      <c r="AG18">
        <v>196</v>
      </c>
      <c r="AH18">
        <v>8751</v>
      </c>
    </row>
    <row r="19" spans="1:34" x14ac:dyDescent="0.25">
      <c r="A19">
        <v>18</v>
      </c>
      <c r="B19" t="s">
        <v>175</v>
      </c>
      <c r="C19">
        <v>1394007</v>
      </c>
      <c r="D19">
        <v>327114</v>
      </c>
      <c r="E19">
        <v>307101</v>
      </c>
      <c r="F19">
        <v>532444</v>
      </c>
      <c r="G19">
        <v>608952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1351573</v>
      </c>
      <c r="P19">
        <v>0</v>
      </c>
      <c r="Q19">
        <v>0</v>
      </c>
      <c r="R19">
        <v>0</v>
      </c>
      <c r="S19">
        <v>0</v>
      </c>
      <c r="T19">
        <v>0</v>
      </c>
      <c r="U19">
        <v>2745580</v>
      </c>
      <c r="V19">
        <v>327114</v>
      </c>
      <c r="W19">
        <v>307101</v>
      </c>
      <c r="X19">
        <v>532444</v>
      </c>
      <c r="Y19">
        <v>608952</v>
      </c>
      <c r="Z19">
        <v>0</v>
      </c>
      <c r="AA19">
        <v>989</v>
      </c>
      <c r="AB19">
        <v>0</v>
      </c>
      <c r="AC19">
        <v>713</v>
      </c>
      <c r="AD19">
        <v>1702</v>
      </c>
      <c r="AE19">
        <v>3609</v>
      </c>
      <c r="AF19">
        <v>0</v>
      </c>
      <c r="AG19">
        <v>0</v>
      </c>
      <c r="AH19">
        <v>3609</v>
      </c>
    </row>
    <row r="20" spans="1:34" x14ac:dyDescent="0.25">
      <c r="A20">
        <v>19</v>
      </c>
      <c r="B20" t="s">
        <v>176</v>
      </c>
      <c r="C20">
        <v>631497</v>
      </c>
      <c r="D20">
        <v>337616</v>
      </c>
      <c r="E20">
        <v>719455</v>
      </c>
      <c r="F20">
        <v>168008</v>
      </c>
      <c r="G20">
        <v>325998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147600</v>
      </c>
      <c r="P20">
        <v>1499735</v>
      </c>
      <c r="Q20">
        <v>187226</v>
      </c>
      <c r="R20">
        <v>0</v>
      </c>
      <c r="S20">
        <v>470592</v>
      </c>
      <c r="T20">
        <v>110500</v>
      </c>
      <c r="U20">
        <v>779097</v>
      </c>
      <c r="V20">
        <v>1837351</v>
      </c>
      <c r="W20">
        <v>906681</v>
      </c>
      <c r="X20">
        <v>168008</v>
      </c>
      <c r="Y20">
        <v>796590</v>
      </c>
      <c r="Z20">
        <v>110500</v>
      </c>
      <c r="AA20">
        <v>594</v>
      </c>
      <c r="AB20">
        <v>0</v>
      </c>
      <c r="AC20">
        <v>1240</v>
      </c>
      <c r="AD20">
        <v>1834</v>
      </c>
      <c r="AE20">
        <v>2653</v>
      </c>
      <c r="AF20">
        <v>0</v>
      </c>
      <c r="AG20">
        <v>2702</v>
      </c>
      <c r="AH20">
        <v>5355</v>
      </c>
    </row>
    <row r="21" spans="1:34" x14ac:dyDescent="0.25">
      <c r="A21">
        <v>20</v>
      </c>
      <c r="B21" t="s">
        <v>177</v>
      </c>
      <c r="C21">
        <v>335833</v>
      </c>
      <c r="D21">
        <v>522672</v>
      </c>
      <c r="E21">
        <v>99077</v>
      </c>
      <c r="F21">
        <v>0</v>
      </c>
      <c r="G21">
        <v>5792726</v>
      </c>
      <c r="H21">
        <v>153500</v>
      </c>
      <c r="I21">
        <v>0</v>
      </c>
      <c r="J21">
        <v>0</v>
      </c>
      <c r="K21">
        <v>0</v>
      </c>
      <c r="L21">
        <v>0</v>
      </c>
      <c r="M21">
        <v>0</v>
      </c>
      <c r="N21">
        <v>45000</v>
      </c>
      <c r="O21">
        <v>36000</v>
      </c>
      <c r="P21">
        <v>173095</v>
      </c>
      <c r="Q21">
        <v>0</v>
      </c>
      <c r="R21">
        <v>1178478</v>
      </c>
      <c r="S21">
        <v>0</v>
      </c>
      <c r="T21">
        <v>0</v>
      </c>
      <c r="U21">
        <v>371833</v>
      </c>
      <c r="V21">
        <v>695767</v>
      </c>
      <c r="W21">
        <v>99077</v>
      </c>
      <c r="X21">
        <v>1178478</v>
      </c>
      <c r="Y21">
        <v>5792726</v>
      </c>
      <c r="Z21">
        <v>198500</v>
      </c>
      <c r="AA21">
        <v>582</v>
      </c>
      <c r="AB21">
        <v>0</v>
      </c>
      <c r="AC21">
        <v>153</v>
      </c>
      <c r="AD21">
        <v>735</v>
      </c>
      <c r="AE21">
        <v>28476</v>
      </c>
      <c r="AF21">
        <v>64</v>
      </c>
      <c r="AG21">
        <v>503</v>
      </c>
      <c r="AH21">
        <v>29043</v>
      </c>
    </row>
    <row r="22" spans="1:34" x14ac:dyDescent="0.25">
      <c r="A22">
        <v>21</v>
      </c>
      <c r="B22" t="s">
        <v>178</v>
      </c>
      <c r="C22">
        <v>234546</v>
      </c>
      <c r="D22">
        <v>359680</v>
      </c>
      <c r="E22">
        <v>494416</v>
      </c>
      <c r="F22">
        <v>577687</v>
      </c>
      <c r="G22">
        <v>1502729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325800</v>
      </c>
      <c r="P22">
        <v>269293</v>
      </c>
      <c r="Q22">
        <v>225670</v>
      </c>
      <c r="R22">
        <v>95727</v>
      </c>
      <c r="S22">
        <v>499409</v>
      </c>
      <c r="T22">
        <v>0</v>
      </c>
      <c r="U22">
        <v>560346</v>
      </c>
      <c r="V22">
        <v>628973</v>
      </c>
      <c r="W22">
        <v>720086</v>
      </c>
      <c r="X22">
        <v>673414</v>
      </c>
      <c r="Y22">
        <v>2002138</v>
      </c>
      <c r="Z22">
        <v>0</v>
      </c>
      <c r="AA22">
        <v>402</v>
      </c>
      <c r="AB22">
        <v>0</v>
      </c>
      <c r="AC22">
        <v>380</v>
      </c>
      <c r="AD22">
        <v>782</v>
      </c>
      <c r="AE22">
        <v>8228</v>
      </c>
      <c r="AF22">
        <v>0</v>
      </c>
      <c r="AG22">
        <v>2778</v>
      </c>
      <c r="AH22">
        <v>11006</v>
      </c>
    </row>
    <row r="23" spans="1:34" x14ac:dyDescent="0.25">
      <c r="A23">
        <v>22</v>
      </c>
      <c r="B23" t="s">
        <v>179</v>
      </c>
      <c r="C23">
        <v>1185607</v>
      </c>
      <c r="D23">
        <v>428629</v>
      </c>
      <c r="E23">
        <v>91763</v>
      </c>
      <c r="F23">
        <v>0</v>
      </c>
      <c r="G23">
        <v>33530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252000</v>
      </c>
      <c r="P23">
        <v>387727</v>
      </c>
      <c r="Q23">
        <v>369107</v>
      </c>
      <c r="R23">
        <v>0</v>
      </c>
      <c r="S23">
        <v>151631</v>
      </c>
      <c r="T23">
        <v>0</v>
      </c>
      <c r="U23">
        <v>1437607</v>
      </c>
      <c r="V23">
        <v>816356</v>
      </c>
      <c r="W23">
        <v>460870</v>
      </c>
      <c r="X23">
        <v>0</v>
      </c>
      <c r="Y23">
        <v>185161</v>
      </c>
      <c r="Z23">
        <v>0</v>
      </c>
      <c r="AA23">
        <v>957</v>
      </c>
      <c r="AB23">
        <v>0</v>
      </c>
      <c r="AC23">
        <v>433</v>
      </c>
      <c r="AD23">
        <v>1390</v>
      </c>
      <c r="AE23">
        <v>290</v>
      </c>
      <c r="AF23">
        <v>0</v>
      </c>
      <c r="AG23">
        <v>1248</v>
      </c>
      <c r="AH23">
        <v>1538</v>
      </c>
    </row>
    <row r="24" spans="1:34" x14ac:dyDescent="0.25">
      <c r="A24">
        <v>23</v>
      </c>
      <c r="B24" t="s">
        <v>180</v>
      </c>
      <c r="C24">
        <v>2621435</v>
      </c>
      <c r="D24">
        <v>1079897</v>
      </c>
      <c r="E24">
        <v>590133</v>
      </c>
      <c r="F24">
        <v>560092</v>
      </c>
      <c r="G24">
        <v>161689</v>
      </c>
      <c r="H24">
        <v>0</v>
      </c>
      <c r="I24">
        <v>0</v>
      </c>
      <c r="J24">
        <v>1086000</v>
      </c>
      <c r="K24">
        <v>0</v>
      </c>
      <c r="L24">
        <v>0</v>
      </c>
      <c r="M24">
        <v>170000</v>
      </c>
      <c r="N24">
        <v>0</v>
      </c>
      <c r="O24">
        <v>57600</v>
      </c>
      <c r="P24">
        <v>521148</v>
      </c>
      <c r="Q24">
        <v>205646</v>
      </c>
      <c r="R24">
        <v>0</v>
      </c>
      <c r="S24">
        <v>760500</v>
      </c>
      <c r="T24">
        <v>58000</v>
      </c>
      <c r="U24">
        <v>2679035</v>
      </c>
      <c r="V24">
        <v>2687045</v>
      </c>
      <c r="W24">
        <v>795779</v>
      </c>
      <c r="X24">
        <v>560092</v>
      </c>
      <c r="Y24">
        <v>1092189</v>
      </c>
      <c r="Z24">
        <v>58000</v>
      </c>
      <c r="AA24">
        <v>2220</v>
      </c>
      <c r="AB24">
        <v>841</v>
      </c>
      <c r="AC24">
        <v>434</v>
      </c>
      <c r="AD24">
        <v>3495</v>
      </c>
      <c r="AE24">
        <v>1843</v>
      </c>
      <c r="AF24">
        <v>825</v>
      </c>
      <c r="AG24">
        <v>4060</v>
      </c>
      <c r="AH24">
        <v>6728</v>
      </c>
    </row>
    <row r="25" spans="1:34" x14ac:dyDescent="0.25">
      <c r="A25">
        <v>24</v>
      </c>
      <c r="B25" t="s">
        <v>181</v>
      </c>
      <c r="C25">
        <v>2345108</v>
      </c>
      <c r="D25">
        <v>1037481</v>
      </c>
      <c r="E25">
        <v>395619</v>
      </c>
      <c r="F25">
        <v>0</v>
      </c>
      <c r="G25">
        <v>3012926</v>
      </c>
      <c r="H25">
        <v>0</v>
      </c>
      <c r="I25">
        <v>0</v>
      </c>
      <c r="J25">
        <v>1328400</v>
      </c>
      <c r="K25">
        <v>23523</v>
      </c>
      <c r="L25">
        <v>0</v>
      </c>
      <c r="M25">
        <v>338000</v>
      </c>
      <c r="N25">
        <v>650000</v>
      </c>
      <c r="O25">
        <v>0</v>
      </c>
      <c r="P25">
        <v>143184</v>
      </c>
      <c r="Q25">
        <v>0</v>
      </c>
      <c r="R25">
        <v>0</v>
      </c>
      <c r="S25">
        <v>668331</v>
      </c>
      <c r="T25">
        <v>0</v>
      </c>
      <c r="U25">
        <v>2345108</v>
      </c>
      <c r="V25">
        <v>2509065</v>
      </c>
      <c r="W25">
        <v>419142</v>
      </c>
      <c r="X25">
        <v>0</v>
      </c>
      <c r="Y25">
        <v>4019257</v>
      </c>
      <c r="Z25">
        <v>650000</v>
      </c>
      <c r="AA25">
        <v>2041</v>
      </c>
      <c r="AB25">
        <v>1029</v>
      </c>
      <c r="AC25">
        <v>110</v>
      </c>
      <c r="AD25">
        <v>3180</v>
      </c>
      <c r="AE25">
        <v>15175</v>
      </c>
      <c r="AF25">
        <v>2602</v>
      </c>
      <c r="AG25">
        <v>3244</v>
      </c>
      <c r="AH25">
        <v>21021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D758A951AFA8439708443E9FC6EDCA" ma:contentTypeVersion="" ma:contentTypeDescription="Create a new document." ma:contentTypeScope="" ma:versionID="93dc7f37017796f84b411981565f53d6">
  <xsd:schema xmlns:xsd="http://www.w3.org/2001/XMLSchema" xmlns:xs="http://www.w3.org/2001/XMLSchema" xmlns:p="http://schemas.microsoft.com/office/2006/metadata/properties" xmlns:ns2="B74648F0-5D86-4C99-8D0D-66B8DD99D615" xmlns:ns3="b74648f0-5d86-4c99-8d0d-66b8dd99d615" xmlns:ns4="82ba5da0-64f9-49bc-bd40-3c07d3bcc4da" targetNamespace="http://schemas.microsoft.com/office/2006/metadata/properties" ma:root="true" ma:fieldsID="bed5e27b109e82f75ee4de24f9b12df5" ns2:_="" ns3:_="" ns4:_="">
    <xsd:import namespace="B74648F0-5D86-4C99-8D0D-66B8DD99D615"/>
    <xsd:import namespace="b74648f0-5d86-4c99-8d0d-66b8dd99d615"/>
    <xsd:import namespace="82ba5da0-64f9-49bc-bd40-3c07d3bcc4da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Project_x0020_Use" minOccurs="0"/>
                <xsd:element ref="ns2:Primary_x0020_Audience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4648F0-5D86-4C99-8D0D-66B8DD99D615" elementFormDefault="qualified">
    <xsd:import namespace="http://schemas.microsoft.com/office/2006/documentManagement/types"/>
    <xsd:import namespace="http://schemas.microsoft.com/office/infopath/2007/PartnerControls"/>
    <xsd:element name="Status" ma:index="8" nillable="true" ma:displayName="Status" ma:format="Dropdown" ma:internalName="Status">
      <xsd:simpleType>
        <xsd:union memberTypes="dms:Text">
          <xsd:simpleType>
            <xsd:restriction base="dms:Choice">
              <xsd:enumeration value="NA"/>
              <xsd:enumeration value="Draft"/>
              <xsd:enumeration value="Final submitted"/>
              <xsd:enumeration value="Final client comments"/>
              <xsd:enumeration value="Final approved"/>
            </xsd:restriction>
          </xsd:simpleType>
        </xsd:union>
      </xsd:simpleType>
    </xsd:element>
    <xsd:element name="Project_x0020_Use" ma:index="9" nillable="true" ma:displayName="Project Use" ma:format="Dropdown" ma:internalName="Project_x0020_Use">
      <xsd:simpleType>
        <xsd:restriction base="dms:Choice">
          <xsd:enumeration value="Coordination / management"/>
          <xsd:enumeration value="Meeting / outreach information"/>
          <xsd:enumeration value="Graphic / illustration / concept"/>
          <xsd:enumeration value="Data / analysis / model"/>
          <xsd:enumeration value="Report / paper / memorandum"/>
          <xsd:enumeration value="Background / resource information"/>
          <xsd:enumeration value="Other"/>
        </xsd:restriction>
      </xsd:simpleType>
    </xsd:element>
    <xsd:element name="Primary_x0020_Audience" ma:index="10" nillable="true" ma:displayName="Primary Audience" ma:format="Dropdown" ma:internalName="Primary_x0020_Audience">
      <xsd:simpleType>
        <xsd:restriction base="dms:Choice">
          <xsd:enumeration value="External / public"/>
          <xsd:enumeration value="Client"/>
          <xsd:enumeration value="Project consulting team"/>
          <xsd:enumeration value="Renaissance project team"/>
          <xsd:enumeration value="Other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4648f0-5d86-4c99-8d0d-66b8dd99d6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ba5da0-64f9-49bc-bd40-3c07d3bcc4da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imary_x0020_Audience xmlns="B74648F0-5D86-4C99-8D0D-66B8DD99D615" xsi:nil="true"/>
    <Status xmlns="B74648F0-5D86-4C99-8D0D-66B8DD99D615" xsi:nil="true"/>
    <Project_x0020_Use xmlns="B74648F0-5D86-4C99-8D0D-66B8DD99D615" xsi:nil="true"/>
    <SharedWithUsers xmlns="82ba5da0-64f9-49bc-bd40-3c07d3bcc4da">
      <UserInfo>
        <DisplayName>Chris Sinclair</DisplayName>
        <AccountId>23</AccountId>
        <AccountType/>
      </UserInfo>
      <UserInfo>
        <DisplayName>Katharine Ange</DisplayName>
        <AccountId>14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6705F12D-CCB0-4EFD-9017-5F2EF014B9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4648F0-5D86-4C99-8D0D-66B8DD99D615"/>
    <ds:schemaRef ds:uri="b74648f0-5d86-4c99-8d0d-66b8dd99d615"/>
    <ds:schemaRef ds:uri="82ba5da0-64f9-49bc-bd40-3c07d3bcc4d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3AFD93C-A381-4B83-A218-944AA9DF85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3823951-8240-4AF9-A30F-65F46D1FE325}">
  <ds:schemaRefs>
    <ds:schemaRef ds:uri="http://schemas.microsoft.com/office/2006/metadata/properties"/>
    <ds:schemaRef ds:uri="http://schemas.microsoft.com/office/infopath/2007/PartnerControls"/>
    <ds:schemaRef ds:uri="B74648F0-5D86-4C99-8D0D-66B8DD99D615"/>
    <ds:schemaRef ds:uri="82ba5da0-64f9-49bc-bd40-3c07d3bcc4d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Presentation</vt:lpstr>
      <vt:lpstr>Existing Report</vt:lpstr>
      <vt:lpstr>Design Report</vt:lpstr>
      <vt:lpstr>City Engine Data</vt:lpstr>
      <vt:lpstr>Parcel Data</vt:lpstr>
      <vt:lpstr>Allocation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KS3 PC</dc:creator>
  <cp:lastModifiedBy>KS3 PC</cp:lastModifiedBy>
  <dcterms:created xsi:type="dcterms:W3CDTF">2020-12-11T16:22:19Z</dcterms:created>
  <dcterms:modified xsi:type="dcterms:W3CDTF">2021-01-05T16:29:41Z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0x0101007FD758A951AFA8439708443E9FC6EDCA</vt:lpwstr>
  </property>
</Properties>
</file>