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 tabRatio="601" activeTab="1"/>
  </bookViews>
  <sheets>
    <sheet name="FA_FW設定值_New" sheetId="18" r:id="rId1"/>
    <sheet name="Voltage校正用" sheetId="7" r:id="rId2"/>
    <sheet name="Sheet1" sheetId="19" r:id="rId3"/>
  </sheets>
  <calcPr calcId="125725"/>
</workbook>
</file>

<file path=xl/calcChain.xml><?xml version="1.0" encoding="utf-8"?>
<calcChain xmlns="http://schemas.openxmlformats.org/spreadsheetml/2006/main">
  <c r="F29" i="18"/>
  <c r="K29"/>
  <c r="K42"/>
  <c r="F42"/>
  <c r="E41"/>
  <c r="M42" s="1"/>
  <c r="O42" s="1"/>
  <c r="O40"/>
  <c r="G39"/>
  <c r="E28"/>
  <c r="M29" s="1"/>
  <c r="O29" s="1"/>
  <c r="O27"/>
  <c r="G26"/>
  <c r="E18" i="7"/>
  <c r="E20" s="1"/>
  <c r="E22" s="1"/>
  <c r="H22" s="1"/>
  <c r="E11"/>
  <c r="E13" s="1"/>
  <c r="E15" s="1"/>
  <c r="H15" s="1"/>
  <c r="E4"/>
  <c r="M23" i="18"/>
  <c r="M18"/>
  <c r="M13"/>
  <c r="K23"/>
  <c r="K18"/>
  <c r="K13"/>
  <c r="F13"/>
  <c r="O11"/>
  <c r="K11"/>
  <c r="M11" s="1"/>
  <c r="O16"/>
  <c r="K16"/>
  <c r="M16" s="1"/>
  <c r="F23"/>
  <c r="F18"/>
  <c r="E12"/>
  <c r="E17"/>
  <c r="E22"/>
  <c r="G10"/>
  <c r="G15"/>
  <c r="K40" l="1"/>
  <c r="M40" s="1"/>
  <c r="E26" i="7"/>
  <c r="K27" i="18"/>
  <c r="M27" s="1"/>
  <c r="J20" i="7"/>
  <c r="J13"/>
  <c r="H2" i="18"/>
  <c r="K2" s="1"/>
  <c r="F1"/>
  <c r="J28" i="7" l="1"/>
  <c r="E28"/>
  <c r="E30" s="1"/>
  <c r="H30" s="1"/>
  <c r="N2" i="18"/>
  <c r="G20"/>
  <c r="O21"/>
  <c r="F5"/>
  <c r="D7" s="1"/>
  <c r="K21" s="1"/>
  <c r="M21" s="1"/>
  <c r="E6" i="7" l="1"/>
  <c r="E8" s="1"/>
  <c r="H8" s="1"/>
  <c r="J6" l="1"/>
</calcChain>
</file>

<file path=xl/sharedStrings.xml><?xml version="1.0" encoding="utf-8"?>
<sst xmlns="http://schemas.openxmlformats.org/spreadsheetml/2006/main" count="234" uniqueCount="106">
  <si>
    <t>R1</t>
    <phoneticPr fontId="5" type="noConversion"/>
  </si>
  <si>
    <t>kR</t>
    <phoneticPr fontId="5" type="noConversion"/>
  </si>
  <si>
    <t>ADC</t>
    <phoneticPr fontId="5" type="noConversion"/>
  </si>
  <si>
    <t>ADC calculate</t>
    <phoneticPr fontId="5" type="noConversion"/>
  </si>
  <si>
    <t>ADC res.</t>
    <phoneticPr fontId="5" type="noConversion"/>
  </si>
  <si>
    <t>ADC Ref.</t>
    <phoneticPr fontId="5" type="noConversion"/>
  </si>
  <si>
    <t>V</t>
    <phoneticPr fontId="5" type="noConversion"/>
  </si>
  <si>
    <t>mV</t>
    <phoneticPr fontId="5" type="noConversion"/>
  </si>
  <si>
    <t>VBAT</t>
    <phoneticPr fontId="5" type="noConversion"/>
  </si>
  <si>
    <t>R2 (對地)</t>
    <phoneticPr fontId="5" type="noConversion"/>
  </si>
  <si>
    <t>////////////////////////////////////////////////////////////////</t>
  </si>
  <si>
    <t>adc step</t>
    <phoneticPr fontId="5" type="noConversion"/>
  </si>
  <si>
    <t>ADC offset</t>
    <phoneticPr fontId="5" type="noConversion"/>
  </si>
  <si>
    <t>硬體設定及校正值</t>
    <phoneticPr fontId="5" type="noConversion"/>
  </si>
  <si>
    <t>10mA to ADC Factor = mA to ADC Factor / 10</t>
    <phoneticPr fontId="5" type="noConversion"/>
  </si>
  <si>
    <t>1mA to ADC Factor = Rsense(R) * op_gain / ADC step(mV)</t>
    <phoneticPr fontId="5" type="noConversion"/>
  </si>
  <si>
    <t>//實際值-理論值</t>
  </si>
  <si>
    <t>Factor</t>
    <phoneticPr fontId="5" type="noConversion"/>
  </si>
  <si>
    <t>mV to ADC</t>
    <phoneticPr fontId="5" type="noConversion"/>
  </si>
  <si>
    <t>輸入ADC</t>
    <phoneticPr fontId="5" type="noConversion"/>
  </si>
  <si>
    <t>輸入實際電壓(mV)</t>
    <phoneticPr fontId="5" type="noConversion"/>
  </si>
  <si>
    <t>理論電壓(mV)</t>
    <phoneticPr fontId="5" type="noConversion"/>
  </si>
  <si>
    <t>輸入ADC讀值</t>
    <phoneticPr fontId="5" type="noConversion"/>
  </si>
  <si>
    <t>ADC Offset 值</t>
    <phoneticPr fontId="5" type="noConversion"/>
  </si>
  <si>
    <t>(實際值-理論值)</t>
    <phoneticPr fontId="5" type="noConversion"/>
  </si>
  <si>
    <t>理論值=實際值-Offset</t>
    <phoneticPr fontId="5" type="noConversion"/>
  </si>
  <si>
    <t>ADC 理論值</t>
    <phoneticPr fontId="5" type="noConversion"/>
  </si>
  <si>
    <t>//                                             |</t>
    <phoneticPr fontId="5" type="noConversion"/>
  </si>
  <si>
    <t>1mV to ADC Factor</t>
    <phoneticPr fontId="5" type="noConversion"/>
  </si>
  <si>
    <t>//    Battery |------Resistor1----+---Resistor2-----|GND</t>
  </si>
  <si>
    <t>輸入電壓(mV)</t>
    <phoneticPr fontId="5" type="noConversion"/>
  </si>
  <si>
    <t xml:space="preserve">//                                voltage output </t>
    <phoneticPr fontId="5" type="noConversion"/>
  </si>
  <si>
    <t>//                                to MCU ADC in</t>
    <phoneticPr fontId="5" type="noConversion"/>
  </si>
  <si>
    <t>1mV to ADC Factor = 1/ (ADC step_mV / (Vbat_R2 / (Vbat_R1+Vbat_R2))) ==&gt;小數點6位</t>
    <phoneticPr fontId="5" type="noConversion"/>
  </si>
  <si>
    <t>MANUFACTURE_DATE</t>
  </si>
  <si>
    <t>Year</t>
    <phoneticPr fontId="5" type="noConversion"/>
  </si>
  <si>
    <t>Month</t>
    <phoneticPr fontId="5" type="noConversion"/>
  </si>
  <si>
    <t>Day</t>
    <phoneticPr fontId="5" type="noConversion"/>
  </si>
  <si>
    <t>//   Voltage |       1000KR        |     56KR</t>
    <phoneticPr fontId="5" type="noConversion"/>
  </si>
  <si>
    <t>ADC Values</t>
    <phoneticPr fontId="5" type="noConversion"/>
  </si>
  <si>
    <t>分壓系數</t>
    <phoneticPr fontId="5" type="noConversion"/>
  </si>
  <si>
    <t>To MCU Voltage(mV)</t>
    <phoneticPr fontId="5" type="noConversion"/>
  </si>
  <si>
    <t>To MCU Voltage(mV)</t>
    <phoneticPr fontId="5" type="noConversion"/>
  </si>
  <si>
    <t>Vbat</t>
    <phoneticPr fontId="5" type="noConversion"/>
  </si>
  <si>
    <t>校正值取最後兩位數</t>
    <phoneticPr fontId="5" type="noConversion"/>
  </si>
  <si>
    <t>校正值</t>
    <phoneticPr fontId="5" type="noConversion"/>
  </si>
  <si>
    <t>Date</t>
    <phoneticPr fontId="5" type="noConversion"/>
  </si>
  <si>
    <t>24V</t>
    <phoneticPr fontId="5" type="noConversion"/>
  </si>
  <si>
    <t>Charger</t>
    <phoneticPr fontId="5" type="noConversion"/>
  </si>
  <si>
    <t>36V</t>
    <phoneticPr fontId="5" type="noConversion"/>
  </si>
  <si>
    <t>48V</t>
    <phoneticPr fontId="5" type="noConversion"/>
  </si>
  <si>
    <t>bits =====&gt;</t>
    <phoneticPr fontId="5" type="noConversion"/>
  </si>
  <si>
    <t>Max DetectionVbat Voltage</t>
    <phoneticPr fontId="5" type="noConversion"/>
  </si>
  <si>
    <t>Max DetectionVbat Voltage</t>
    <phoneticPr fontId="5" type="noConversion"/>
  </si>
  <si>
    <t>mV</t>
    <phoneticPr fontId="5" type="noConversion"/>
  </si>
  <si>
    <t>輸入ADC值</t>
    <phoneticPr fontId="5" type="noConversion"/>
  </si>
  <si>
    <t>MCU Vol(mV)</t>
    <phoneticPr fontId="5" type="noConversion"/>
  </si>
  <si>
    <t>Charger Vol(mV)</t>
    <phoneticPr fontId="5" type="noConversion"/>
  </si>
  <si>
    <t>24V Charger</t>
    <phoneticPr fontId="5" type="noConversion"/>
  </si>
  <si>
    <t>(cmd,value)</t>
    <phoneticPr fontId="5" type="noConversion"/>
  </si>
  <si>
    <r>
      <t>d0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</si>
  <si>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t>FA Tool Cmd  (usb)</t>
    <phoneticPr fontId="5" type="noConversion"/>
  </si>
  <si>
    <t>36V Charger</t>
    <phoneticPr fontId="5" type="noConversion"/>
  </si>
  <si>
    <r>
      <t>d1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</si>
  <si>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t>48V Charger</t>
    <phoneticPr fontId="5" type="noConversion"/>
  </si>
  <si>
    <t>Battery</t>
    <phoneticPr fontId="5" type="noConversion"/>
  </si>
  <si>
    <t>Voltage</t>
    <phoneticPr fontId="5" type="noConversion"/>
  </si>
  <si>
    <t>Bat</t>
    <phoneticPr fontId="5" type="noConversion"/>
  </si>
  <si>
    <r>
      <t>d6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</si>
  <si>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d2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</si>
  <si>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充电器型号</t>
    </r>
    <r>
      <rPr>
        <b/>
        <sz val="12"/>
        <color rgb="FF000000"/>
        <rFont val="Arial"/>
        <family val="2"/>
      </rPr>
      <t xml:space="preserve"> </t>
    </r>
  </si>
  <si>
    <t xml:space="preserve">ID电阻器 </t>
  </si>
  <si>
    <r>
      <t>充电电压</t>
    </r>
    <r>
      <rPr>
        <b/>
        <sz val="12"/>
        <color rgb="FF000000"/>
        <rFont val="Arial"/>
        <family val="2"/>
      </rPr>
      <t xml:space="preserve"> </t>
    </r>
  </si>
  <si>
    <r>
      <t>电阻范围</t>
    </r>
    <r>
      <rPr>
        <b/>
        <sz val="12"/>
        <color rgb="FF000000"/>
        <rFont val="Arial"/>
        <family val="2"/>
      </rPr>
      <t xml:space="preserve"> </t>
    </r>
  </si>
  <si>
    <t xml:space="preserve">24V </t>
  </si>
  <si>
    <t xml:space="preserve">95K ~ 105K  (100K) </t>
  </si>
  <si>
    <t xml:space="preserve">29.35±0.1V </t>
  </si>
  <si>
    <t xml:space="preserve"> 94K &gt; ID&gt; 283K </t>
  </si>
  <si>
    <t xml:space="preserve">190K ~ 210K (200K) </t>
  </si>
  <si>
    <t xml:space="preserve">29.7±0.1V </t>
  </si>
  <si>
    <t xml:space="preserve">254K ~ 282K(268K) </t>
  </si>
  <si>
    <t xml:space="preserve">30.75±0.1V </t>
  </si>
  <si>
    <t xml:space="preserve">36V </t>
  </si>
  <si>
    <t xml:space="preserve">310K~350K  (330K) </t>
  </si>
  <si>
    <t xml:space="preserve"> 41.8±0.1V </t>
  </si>
  <si>
    <t xml:space="preserve"> 309K &gt; ID&gt; 561K </t>
  </si>
  <si>
    <t xml:space="preserve">405K ~ 455K(430K) </t>
  </si>
  <si>
    <t xml:space="preserve"> 42.3±0.1V </t>
  </si>
  <si>
    <t xml:space="preserve">500K ~  560K (530K) </t>
  </si>
  <si>
    <t xml:space="preserve"> 43.8±0.1V </t>
  </si>
  <si>
    <t xml:space="preserve">48V </t>
  </si>
  <si>
    <t xml:space="preserve">645K~715K (680K) </t>
  </si>
  <si>
    <t xml:space="preserve">54.25±0.1V </t>
  </si>
  <si>
    <t xml:space="preserve"> 644K &gt; ID&gt; 926K </t>
  </si>
  <si>
    <t xml:space="preserve">740K~820K (780K) </t>
  </si>
  <si>
    <t xml:space="preserve">54.9±0.1V </t>
  </si>
  <si>
    <t xml:space="preserve">835K ~ 925K(880K) </t>
  </si>
  <si>
    <t xml:space="preserve">56.85±0.1V </t>
  </si>
  <si>
    <t>PACK</t>
    <phoneticPr fontId="5" type="noConversion"/>
  </si>
  <si>
    <t>DSG/CHG</t>
    <phoneticPr fontId="5" type="noConversion"/>
  </si>
  <si>
    <t>Blow table Don't Use</t>
    <phoneticPr fontId="5" type="noConversion"/>
  </si>
  <si>
    <t>Pack Voldate</t>
    <phoneticPr fontId="5" type="noConversion"/>
  </si>
  <si>
    <r>
      <t>d7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</si>
  <si>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t>(cmd,value)  ==&gt; Pack DSG</t>
    <phoneticPr fontId="5" type="noConversion"/>
  </si>
  <si>
    <t>(cmd,value)  ==&gt; Pack CHG</t>
    <phoneticPr fontId="5" type="noConversion"/>
  </si>
  <si>
    <t>Measured Battery Pack By DSG or CHG</t>
    <phoneticPr fontId="5" type="noConversion"/>
  </si>
</sst>
</file>

<file path=xl/styles.xml><?xml version="1.0" encoding="utf-8"?>
<styleSheet xmlns="http://schemas.openxmlformats.org/spreadsheetml/2006/main"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rgb="FF1D1884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theme="4" tint="-0.249977111117893"/>
      <name val="新細明體"/>
      <family val="1"/>
      <charset val="136"/>
    </font>
    <font>
      <sz val="12"/>
      <name val="新細明體"/>
      <family val="1"/>
      <charset val="136"/>
    </font>
    <font>
      <sz val="12"/>
      <name val="宋体"/>
    </font>
    <font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新細明體"/>
      <family val="1"/>
      <charset val="136"/>
    </font>
  </fonts>
  <fills count="1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ECEE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ADDE1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tted">
        <color auto="1"/>
      </left>
      <right style="double">
        <color indexed="64"/>
      </right>
      <top style="thin">
        <color auto="1"/>
      </top>
      <bottom/>
      <diagonal/>
    </border>
    <border>
      <left style="dotted">
        <color auto="1"/>
      </left>
      <right style="double">
        <color indexed="64"/>
      </right>
      <top/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tted">
        <color auto="1"/>
      </left>
      <right style="double">
        <color indexed="64"/>
      </right>
      <top/>
      <bottom/>
      <diagonal/>
    </border>
    <border>
      <left style="dotted">
        <color auto="1"/>
      </left>
      <right style="double">
        <color indexed="64"/>
      </right>
      <top style="thick">
        <color auto="1"/>
      </top>
      <bottom/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tted">
        <color auto="1"/>
      </left>
      <right style="double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1" fillId="0" borderId="0"/>
    <xf numFmtId="0" fontId="12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0" borderId="15" xfId="0" applyFont="1" applyFill="1" applyBorder="1">
      <alignment vertical="center"/>
    </xf>
    <xf numFmtId="0" fontId="0" fillId="0" borderId="6" xfId="0" applyBorder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0" fontId="6" fillId="0" borderId="4" xfId="0" applyFont="1" applyFill="1" applyBorder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9" xfId="0" applyFill="1" applyBorder="1">
      <alignment vertical="center"/>
    </xf>
    <xf numFmtId="0" fontId="0" fillId="0" borderId="22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9" borderId="23" xfId="0" applyFill="1" applyBorder="1">
      <alignment vertical="center"/>
    </xf>
    <xf numFmtId="0" fontId="0" fillId="9" borderId="24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1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15" xfId="0" applyBorder="1">
      <alignment vertical="center"/>
    </xf>
    <xf numFmtId="0" fontId="9" fillId="0" borderId="0" xfId="0" applyNumberFormat="1" applyFont="1" applyBorder="1">
      <alignment vertical="center"/>
    </xf>
    <xf numFmtId="0" fontId="0" fillId="3" borderId="25" xfId="0" applyFill="1" applyBorder="1">
      <alignment vertical="center"/>
    </xf>
    <xf numFmtId="0" fontId="0" fillId="0" borderId="25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3" borderId="28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0" fillId="8" borderId="28" xfId="0" applyFill="1" applyBorder="1">
      <alignment vertical="center"/>
    </xf>
    <xf numFmtId="0" fontId="0" fillId="0" borderId="28" xfId="0" applyBorder="1">
      <alignment vertical="center"/>
    </xf>
    <xf numFmtId="0" fontId="0" fillId="8" borderId="29" xfId="0" applyFill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9" borderId="35" xfId="0" applyFill="1" applyBorder="1">
      <alignment vertical="center"/>
    </xf>
    <xf numFmtId="0" fontId="6" fillId="0" borderId="30" xfId="0" applyFont="1" applyFill="1" applyBorder="1">
      <alignment vertical="center"/>
    </xf>
    <xf numFmtId="0" fontId="0" fillId="9" borderId="36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7" xfId="0" applyBorder="1">
      <alignment vertical="center"/>
    </xf>
    <xf numFmtId="0" fontId="0" fillId="5" borderId="30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0" fillId="0" borderId="2" xfId="0" applyBorder="1">
      <alignment vertical="center"/>
    </xf>
    <xf numFmtId="0" fontId="0" fillId="0" borderId="38" xfId="0" applyBorder="1">
      <alignment vertical="center"/>
    </xf>
    <xf numFmtId="0" fontId="0" fillId="0" borderId="2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9" xfId="0" applyBorder="1">
      <alignment vertical="center"/>
    </xf>
    <xf numFmtId="0" fontId="8" fillId="0" borderId="6" xfId="0" applyFont="1" applyBorder="1">
      <alignment vertical="center"/>
    </xf>
    <xf numFmtId="0" fontId="0" fillId="10" borderId="16" xfId="0" applyFill="1" applyBorder="1" applyAlignment="1">
      <alignment horizontal="left" vertical="center"/>
    </xf>
    <xf numFmtId="0" fontId="13" fillId="0" borderId="1" xfId="0" applyFont="1" applyBorder="1">
      <alignment vertical="center"/>
    </xf>
    <xf numFmtId="0" fontId="8" fillId="0" borderId="4" xfId="0" applyFont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6" fillId="0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9" borderId="40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14" fillId="13" borderId="41" xfId="0" applyFont="1" applyFill="1" applyBorder="1" applyAlignment="1">
      <alignment horizontal="left" vertical="top" wrapText="1" readingOrder="1"/>
    </xf>
    <xf numFmtId="0" fontId="15" fillId="13" borderId="41" xfId="0" applyFont="1" applyFill="1" applyBorder="1" applyAlignment="1">
      <alignment horizontal="center" vertical="top" wrapText="1" readingOrder="1"/>
    </xf>
    <xf numFmtId="0" fontId="14" fillId="13" borderId="41" xfId="0" applyFont="1" applyFill="1" applyBorder="1" applyAlignment="1">
      <alignment horizontal="center" vertical="top" wrapText="1" readingOrder="1"/>
    </xf>
    <xf numFmtId="0" fontId="16" fillId="14" borderId="41" xfId="0" applyFont="1" applyFill="1" applyBorder="1" applyAlignment="1">
      <alignment horizontal="left" vertical="top" wrapText="1" readingOrder="1"/>
    </xf>
    <xf numFmtId="0" fontId="16" fillId="13" borderId="41" xfId="0" applyFont="1" applyFill="1" applyBorder="1" applyAlignment="1">
      <alignment horizontal="left" vertical="top" wrapText="1" readingOrder="1"/>
    </xf>
    <xf numFmtId="0" fontId="16" fillId="15" borderId="41" xfId="0" applyFont="1" applyFill="1" applyBorder="1" applyAlignment="1">
      <alignment horizontal="left" vertical="top" wrapText="1" readingOrder="1"/>
    </xf>
    <xf numFmtId="0" fontId="0" fillId="0" borderId="0" xfId="0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33" xfId="0" applyFill="1" applyBorder="1">
      <alignment vertical="center"/>
    </xf>
    <xf numFmtId="0" fontId="0" fillId="10" borderId="33" xfId="0" applyFill="1" applyBorder="1" applyAlignment="1">
      <alignment vertical="center"/>
    </xf>
    <xf numFmtId="0" fontId="0" fillId="12" borderId="33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14" borderId="42" xfId="0" applyFont="1" applyFill="1" applyBorder="1" applyAlignment="1">
      <alignment horizontal="center" vertical="center" wrapText="1" readingOrder="1"/>
    </xf>
    <xf numFmtId="0" fontId="16" fillId="14" borderId="43" xfId="0" applyFont="1" applyFill="1" applyBorder="1" applyAlignment="1">
      <alignment horizontal="center" vertical="center" wrapText="1" readingOrder="1"/>
    </xf>
    <xf numFmtId="0" fontId="16" fillId="14" borderId="44" xfId="0" applyFont="1" applyFill="1" applyBorder="1" applyAlignment="1">
      <alignment horizontal="center" vertical="center" wrapText="1" readingOrder="1"/>
    </xf>
    <xf numFmtId="0" fontId="16" fillId="14" borderId="42" xfId="0" applyFont="1" applyFill="1" applyBorder="1" applyAlignment="1">
      <alignment horizontal="left" vertical="center" wrapText="1" readingOrder="1"/>
    </xf>
    <xf numFmtId="0" fontId="16" fillId="14" borderId="43" xfId="0" applyFont="1" applyFill="1" applyBorder="1" applyAlignment="1">
      <alignment horizontal="left" vertical="center" wrapText="1" readingOrder="1"/>
    </xf>
    <xf numFmtId="0" fontId="16" fillId="14" borderId="44" xfId="0" applyFont="1" applyFill="1" applyBorder="1" applyAlignment="1">
      <alignment horizontal="left" vertical="center" wrapText="1" readingOrder="1"/>
    </xf>
    <xf numFmtId="0" fontId="16" fillId="13" borderId="42" xfId="0" applyFont="1" applyFill="1" applyBorder="1" applyAlignment="1">
      <alignment horizontal="center" vertical="center" wrapText="1" readingOrder="1"/>
    </xf>
    <xf numFmtId="0" fontId="16" fillId="13" borderId="43" xfId="0" applyFont="1" applyFill="1" applyBorder="1" applyAlignment="1">
      <alignment horizontal="center" vertical="center" wrapText="1" readingOrder="1"/>
    </xf>
    <xf numFmtId="0" fontId="16" fillId="13" borderId="44" xfId="0" applyFont="1" applyFill="1" applyBorder="1" applyAlignment="1">
      <alignment horizontal="center" vertical="center" wrapText="1" readingOrder="1"/>
    </xf>
    <xf numFmtId="0" fontId="16" fillId="13" borderId="42" xfId="0" applyFont="1" applyFill="1" applyBorder="1" applyAlignment="1">
      <alignment horizontal="left" vertical="center" wrapText="1" readingOrder="1"/>
    </xf>
    <xf numFmtId="0" fontId="16" fillId="13" borderId="43" xfId="0" applyFont="1" applyFill="1" applyBorder="1" applyAlignment="1">
      <alignment horizontal="left" vertical="center" wrapText="1" readingOrder="1"/>
    </xf>
    <xf numFmtId="0" fontId="16" fillId="13" borderId="44" xfId="0" applyFont="1" applyFill="1" applyBorder="1" applyAlignment="1">
      <alignment horizontal="left" vertical="center" wrapText="1" readingOrder="1"/>
    </xf>
    <xf numFmtId="0" fontId="16" fillId="15" borderId="42" xfId="0" applyFont="1" applyFill="1" applyBorder="1" applyAlignment="1">
      <alignment horizontal="center" vertical="center" wrapText="1" readingOrder="1"/>
    </xf>
    <xf numFmtId="0" fontId="16" fillId="15" borderId="43" xfId="0" applyFont="1" applyFill="1" applyBorder="1" applyAlignment="1">
      <alignment horizontal="center" vertical="center" wrapText="1" readingOrder="1"/>
    </xf>
    <xf numFmtId="0" fontId="16" fillId="15" borderId="44" xfId="0" applyFont="1" applyFill="1" applyBorder="1" applyAlignment="1">
      <alignment horizontal="center" vertical="center" wrapText="1" readingOrder="1"/>
    </xf>
    <xf numFmtId="0" fontId="16" fillId="15" borderId="42" xfId="0" applyFont="1" applyFill="1" applyBorder="1" applyAlignment="1">
      <alignment horizontal="left" vertical="center" wrapText="1" readingOrder="1"/>
    </xf>
    <xf numFmtId="0" fontId="16" fillId="15" borderId="43" xfId="0" applyFont="1" applyFill="1" applyBorder="1" applyAlignment="1">
      <alignment horizontal="left" vertical="center" wrapText="1" readingOrder="1"/>
    </xf>
    <xf numFmtId="0" fontId="16" fillId="15" borderId="44" xfId="0" applyFont="1" applyFill="1" applyBorder="1" applyAlignment="1">
      <alignment horizontal="left" vertical="center" wrapText="1" readingOrder="1"/>
    </xf>
    <xf numFmtId="0" fontId="17" fillId="0" borderId="1" xfId="0" applyFont="1" applyFill="1" applyBorder="1">
      <alignment vertical="center"/>
    </xf>
    <xf numFmtId="0" fontId="17" fillId="0" borderId="4" xfId="0" applyFont="1" applyFill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>
      <alignment vertical="center"/>
    </xf>
    <xf numFmtId="0" fontId="17" fillId="0" borderId="0" xfId="0" applyFont="1" applyBorder="1">
      <alignment vertical="center"/>
    </xf>
  </cellXfs>
  <cellStyles count="8">
    <cellStyle name="一般" xfId="0" builtinId="0"/>
    <cellStyle name="一般 2" xfId="1"/>
    <cellStyle name="一般 2 2" xfId="5"/>
    <cellStyle name="一般 3" xfId="2"/>
    <cellStyle name="一般 4" xfId="3"/>
    <cellStyle name="一般 5" xfId="4"/>
    <cellStyle name="一般 6" xfId="6"/>
    <cellStyle name="一般 7" xfId="7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Q50"/>
  <sheetViews>
    <sheetView topLeftCell="A19" workbookViewId="0">
      <selection activeCell="E28" sqref="E28"/>
    </sheetView>
  </sheetViews>
  <sheetFormatPr defaultRowHeight="16.5"/>
  <cols>
    <col min="3" max="3" width="9.875" customWidth="1"/>
    <col min="4" max="4" width="10.625" customWidth="1"/>
    <col min="5" max="5" width="12.375" customWidth="1"/>
    <col min="6" max="6" width="11.5" customWidth="1"/>
    <col min="8" max="8" width="8.625" customWidth="1"/>
    <col min="9" max="14" width="7.625" customWidth="1"/>
  </cols>
  <sheetData>
    <row r="1" spans="3:17" ht="17.25" thickBot="1">
      <c r="C1" t="s">
        <v>34</v>
      </c>
      <c r="F1" s="27">
        <f>(H1-1980)*512+K1*32+N1</f>
        <v>16719</v>
      </c>
      <c r="G1" s="26" t="s">
        <v>35</v>
      </c>
      <c r="H1" s="22">
        <v>2012</v>
      </c>
      <c r="J1" s="26" t="s">
        <v>36</v>
      </c>
      <c r="K1" s="22">
        <v>10</v>
      </c>
      <c r="M1" t="s">
        <v>37</v>
      </c>
      <c r="N1" s="22">
        <v>15</v>
      </c>
    </row>
    <row r="2" spans="3:17" ht="18" thickTop="1" thickBot="1">
      <c r="E2" s="48" t="s">
        <v>46</v>
      </c>
      <c r="F2" s="49">
        <v>16719</v>
      </c>
      <c r="G2" s="50" t="s">
        <v>35</v>
      </c>
      <c r="H2" s="51">
        <f>FLOOR(F2/512,1)+1980</f>
        <v>2012</v>
      </c>
      <c r="I2" s="52"/>
      <c r="J2" s="50" t="s">
        <v>36</v>
      </c>
      <c r="K2" s="51">
        <f>FLOOR((F2-((H2-1980)*512))/32,1)</f>
        <v>10</v>
      </c>
      <c r="L2" s="52"/>
      <c r="M2" s="52" t="s">
        <v>37</v>
      </c>
      <c r="N2" s="53">
        <f>F2-((H2-1980)*512+K2*32)</f>
        <v>15</v>
      </c>
    </row>
    <row r="3" spans="3:17" ht="18" thickTop="1" thickBot="1">
      <c r="C3" t="s">
        <v>13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3:17" ht="17.25" thickTop="1">
      <c r="C4" s="13" t="s">
        <v>3</v>
      </c>
      <c r="D4" s="1"/>
      <c r="E4" s="1"/>
      <c r="F4" s="14"/>
      <c r="G4" s="2"/>
      <c r="H4" s="18" t="s">
        <v>15</v>
      </c>
      <c r="I4" s="18"/>
      <c r="J4" s="18"/>
      <c r="K4" s="19"/>
      <c r="L4" s="19"/>
      <c r="M4" s="19"/>
      <c r="N4" s="19"/>
    </row>
    <row r="5" spans="3:17">
      <c r="C5" s="3" t="s">
        <v>4</v>
      </c>
      <c r="D5" s="28">
        <v>10</v>
      </c>
      <c r="E5" s="43" t="s">
        <v>51</v>
      </c>
      <c r="F5" s="12">
        <f>2^D5</f>
        <v>1024</v>
      </c>
      <c r="G5" s="4"/>
      <c r="H5" s="19" t="s">
        <v>14</v>
      </c>
      <c r="I5" s="19"/>
      <c r="J5" s="19"/>
      <c r="K5" s="19"/>
      <c r="L5" s="19"/>
      <c r="M5" s="19"/>
      <c r="N5" s="19"/>
    </row>
    <row r="6" spans="3:17">
      <c r="C6" s="3" t="s">
        <v>5</v>
      </c>
      <c r="D6" s="28">
        <v>2.5</v>
      </c>
      <c r="E6" s="29" t="s">
        <v>6</v>
      </c>
      <c r="F6" s="9"/>
      <c r="G6" s="4"/>
    </row>
    <row r="7" spans="3:17" ht="17.25" thickBot="1">
      <c r="C7" s="15" t="s">
        <v>11</v>
      </c>
      <c r="D7" s="10">
        <f>D6/F5*1000</f>
        <v>2.44140625</v>
      </c>
      <c r="E7" s="10" t="s">
        <v>7</v>
      </c>
      <c r="F7" s="11"/>
      <c r="G7" s="4"/>
    </row>
    <row r="8" spans="3:17" ht="18" thickTop="1" thickBot="1">
      <c r="C8" s="3"/>
      <c r="D8" s="43"/>
      <c r="E8" s="29"/>
      <c r="F8" s="29"/>
      <c r="G8" s="24"/>
    </row>
    <row r="9" spans="3:17" ht="17.25" thickTop="1">
      <c r="C9" s="16" t="s">
        <v>47</v>
      </c>
      <c r="D9" s="8" t="s">
        <v>0</v>
      </c>
      <c r="E9" s="23">
        <v>15</v>
      </c>
      <c r="F9" s="8" t="s">
        <v>1</v>
      </c>
      <c r="G9" s="30" t="s">
        <v>40</v>
      </c>
      <c r="H9" s="63" t="s">
        <v>33</v>
      </c>
      <c r="I9" s="64"/>
      <c r="J9" s="64"/>
      <c r="K9" s="64"/>
      <c r="L9" s="64"/>
      <c r="M9" s="64"/>
      <c r="N9" s="64"/>
      <c r="O9" s="64"/>
      <c r="P9" s="64"/>
      <c r="Q9" s="65"/>
    </row>
    <row r="10" spans="3:17">
      <c r="C10" s="20" t="s">
        <v>48</v>
      </c>
      <c r="D10" s="43" t="s">
        <v>9</v>
      </c>
      <c r="E10" s="28">
        <v>1</v>
      </c>
      <c r="F10" s="43" t="s">
        <v>1</v>
      </c>
      <c r="G10" s="31">
        <f>(E10/(E9+E10))</f>
        <v>6.25E-2</v>
      </c>
      <c r="H10" s="3"/>
      <c r="I10" s="96" t="s">
        <v>30</v>
      </c>
      <c r="J10" s="96"/>
      <c r="K10" s="93" t="s">
        <v>39</v>
      </c>
      <c r="L10" s="93"/>
      <c r="M10" s="93" t="s">
        <v>2</v>
      </c>
      <c r="N10" s="93"/>
      <c r="O10" s="93" t="s">
        <v>41</v>
      </c>
      <c r="P10" s="93"/>
      <c r="Q10" s="54"/>
    </row>
    <row r="11" spans="3:17" ht="17.25" thickBot="1">
      <c r="C11" s="20"/>
      <c r="D11" s="43" t="s">
        <v>12</v>
      </c>
      <c r="E11" s="42">
        <v>0</v>
      </c>
      <c r="F11" s="43" t="s">
        <v>16</v>
      </c>
      <c r="G11" s="4"/>
      <c r="H11" s="20" t="s">
        <v>47</v>
      </c>
      <c r="I11" s="95">
        <v>24000</v>
      </c>
      <c r="J11" s="95"/>
      <c r="K11" s="96">
        <f>I11*E12</f>
        <v>614.4</v>
      </c>
      <c r="L11" s="96"/>
      <c r="M11" s="97">
        <f>ROUND(K11,0)</f>
        <v>614</v>
      </c>
      <c r="N11" s="97"/>
      <c r="O11" s="94">
        <f>I11*(E10/(E9+E10))</f>
        <v>1500</v>
      </c>
      <c r="P11" s="94"/>
      <c r="Q11" s="54"/>
    </row>
    <row r="12" spans="3:17" ht="17.25" thickTop="1">
      <c r="C12" s="3" t="s">
        <v>28</v>
      </c>
      <c r="D12" s="25"/>
      <c r="E12" s="39">
        <f>1/($D$7/(E10/(E9+E10)))</f>
        <v>2.5600000000000001E-2</v>
      </c>
      <c r="F12" s="29"/>
      <c r="G12" s="4"/>
      <c r="H12" s="3"/>
      <c r="I12" s="98" t="s">
        <v>55</v>
      </c>
      <c r="J12" s="98"/>
      <c r="K12" s="1" t="s">
        <v>56</v>
      </c>
      <c r="L12" s="1"/>
      <c r="M12" s="1" t="s">
        <v>57</v>
      </c>
      <c r="N12" s="1"/>
      <c r="O12" s="1"/>
      <c r="P12" s="1"/>
      <c r="Q12" s="67"/>
    </row>
    <row r="13" spans="3:17" ht="17.25" thickBot="1">
      <c r="C13" s="3" t="s">
        <v>53</v>
      </c>
      <c r="D13" s="43"/>
      <c r="E13" s="7"/>
      <c r="F13" s="43">
        <f>F5/E12</f>
        <v>40000</v>
      </c>
      <c r="G13" s="4" t="s">
        <v>54</v>
      </c>
      <c r="H13" s="3"/>
      <c r="I13" s="99">
        <v>739</v>
      </c>
      <c r="J13" s="99"/>
      <c r="K13" s="100">
        <f>I13*D7</f>
        <v>1804.19921875</v>
      </c>
      <c r="L13" s="100"/>
      <c r="M13" s="101">
        <f>I13/E12</f>
        <v>28867.1875</v>
      </c>
      <c r="N13" s="101"/>
      <c r="O13" s="56"/>
      <c r="P13" s="56"/>
      <c r="Q13" s="57"/>
    </row>
    <row r="14" spans="3:17" ht="17.25" thickTop="1">
      <c r="C14" s="59" t="s">
        <v>49</v>
      </c>
      <c r="D14" s="41" t="s">
        <v>0</v>
      </c>
      <c r="E14" s="40">
        <v>22</v>
      </c>
      <c r="F14" s="41" t="s">
        <v>1</v>
      </c>
      <c r="G14" s="60" t="s">
        <v>40</v>
      </c>
      <c r="H14" s="63" t="s">
        <v>33</v>
      </c>
      <c r="I14" s="64"/>
      <c r="J14" s="64"/>
      <c r="K14" s="64"/>
      <c r="L14" s="64"/>
      <c r="M14" s="64"/>
      <c r="N14" s="64"/>
      <c r="O14" s="64"/>
      <c r="P14" s="64"/>
      <c r="Q14" s="65"/>
    </row>
    <row r="15" spans="3:17">
      <c r="C15" s="20" t="s">
        <v>48</v>
      </c>
      <c r="D15" s="43" t="s">
        <v>9</v>
      </c>
      <c r="E15" s="42">
        <v>1</v>
      </c>
      <c r="F15" s="43" t="s">
        <v>1</v>
      </c>
      <c r="G15" s="31">
        <f>(E15/(E14+E15))</f>
        <v>4.3478260869565216E-2</v>
      </c>
      <c r="H15" s="3"/>
      <c r="I15" s="96" t="s">
        <v>30</v>
      </c>
      <c r="J15" s="96"/>
      <c r="K15" s="93" t="s">
        <v>39</v>
      </c>
      <c r="L15" s="93"/>
      <c r="M15" s="93" t="s">
        <v>2</v>
      </c>
      <c r="N15" s="93"/>
      <c r="O15" s="93" t="s">
        <v>41</v>
      </c>
      <c r="P15" s="93"/>
      <c r="Q15" s="54"/>
    </row>
    <row r="16" spans="3:17" ht="17.25" thickBot="1">
      <c r="C16" s="20"/>
      <c r="D16" s="43" t="s">
        <v>12</v>
      </c>
      <c r="E16" s="42">
        <v>0</v>
      </c>
      <c r="F16" s="43" t="s">
        <v>16</v>
      </c>
      <c r="G16" s="4"/>
      <c r="H16" s="20" t="s">
        <v>49</v>
      </c>
      <c r="I16" s="95">
        <v>24000</v>
      </c>
      <c r="J16" s="95"/>
      <c r="K16" s="96">
        <f>I16*E17</f>
        <v>427.40869565217389</v>
      </c>
      <c r="L16" s="96"/>
      <c r="M16" s="97">
        <f>ROUND(K16,0)</f>
        <v>427</v>
      </c>
      <c r="N16" s="97"/>
      <c r="O16" s="94">
        <f>I16*(E15/(E14+E15))</f>
        <v>1043.4782608695652</v>
      </c>
      <c r="P16" s="94"/>
      <c r="Q16" s="54"/>
    </row>
    <row r="17" spans="3:17" ht="17.25" thickTop="1">
      <c r="C17" s="3" t="s">
        <v>28</v>
      </c>
      <c r="D17" s="25"/>
      <c r="E17" s="39">
        <f>1/($D$7/(E15/(E14+E15)))</f>
        <v>1.7808695652173911E-2</v>
      </c>
      <c r="F17" s="43"/>
      <c r="G17" s="4"/>
      <c r="H17" s="3"/>
      <c r="I17" s="98" t="s">
        <v>55</v>
      </c>
      <c r="J17" s="98"/>
      <c r="K17" s="1" t="s">
        <v>56</v>
      </c>
      <c r="L17" s="1"/>
      <c r="M17" s="1" t="s">
        <v>57</v>
      </c>
      <c r="N17" s="1"/>
      <c r="O17" s="1"/>
      <c r="P17" s="1"/>
      <c r="Q17" s="67"/>
    </row>
    <row r="18" spans="3:17" ht="17.25" thickBot="1">
      <c r="C18" s="55" t="s">
        <v>53</v>
      </c>
      <c r="D18" s="56"/>
      <c r="E18" s="61"/>
      <c r="F18" s="56">
        <f>F5/E17</f>
        <v>57500.000000000007</v>
      </c>
      <c r="G18" s="62" t="s">
        <v>54</v>
      </c>
      <c r="H18" s="3"/>
      <c r="I18" s="99">
        <v>672</v>
      </c>
      <c r="J18" s="99"/>
      <c r="K18" s="100">
        <f>I18*D7</f>
        <v>1640.625</v>
      </c>
      <c r="L18" s="100"/>
      <c r="M18" s="101">
        <f>I18/E17</f>
        <v>37734.375</v>
      </c>
      <c r="N18" s="101"/>
      <c r="O18" s="56"/>
      <c r="P18" s="56"/>
      <c r="Q18" s="57"/>
    </row>
    <row r="19" spans="3:17" ht="17.25" thickTop="1">
      <c r="C19" s="20" t="s">
        <v>50</v>
      </c>
      <c r="D19" s="43" t="s">
        <v>0</v>
      </c>
      <c r="E19" s="42">
        <v>30</v>
      </c>
      <c r="F19" s="43" t="s">
        <v>1</v>
      </c>
      <c r="G19" s="58" t="s">
        <v>40</v>
      </c>
      <c r="H19" s="63" t="s">
        <v>33</v>
      </c>
      <c r="I19" s="64"/>
      <c r="J19" s="64"/>
      <c r="K19" s="64"/>
      <c r="L19" s="64"/>
      <c r="M19" s="64"/>
      <c r="N19" s="64"/>
      <c r="O19" s="64"/>
      <c r="P19" s="64"/>
      <c r="Q19" s="65"/>
    </row>
    <row r="20" spans="3:17">
      <c r="C20" s="20" t="s">
        <v>48</v>
      </c>
      <c r="D20" s="29" t="s">
        <v>9</v>
      </c>
      <c r="E20" s="28">
        <v>1</v>
      </c>
      <c r="F20" s="29" t="s">
        <v>1</v>
      </c>
      <c r="G20" s="31">
        <f>(E20/(E19+E20))</f>
        <v>3.2258064516129031E-2</v>
      </c>
      <c r="H20" s="3"/>
      <c r="I20" s="96" t="s">
        <v>30</v>
      </c>
      <c r="J20" s="96"/>
      <c r="K20" s="93" t="s">
        <v>39</v>
      </c>
      <c r="L20" s="93"/>
      <c r="M20" s="93" t="s">
        <v>2</v>
      </c>
      <c r="N20" s="93"/>
      <c r="O20" s="93" t="s">
        <v>42</v>
      </c>
      <c r="P20" s="93"/>
      <c r="Q20" s="54"/>
    </row>
    <row r="21" spans="3:17" ht="17.25" thickBot="1">
      <c r="C21" s="3"/>
      <c r="D21" s="29" t="s">
        <v>12</v>
      </c>
      <c r="E21" s="28">
        <v>0</v>
      </c>
      <c r="F21" s="29" t="s">
        <v>16</v>
      </c>
      <c r="G21" s="4"/>
      <c r="H21" s="20" t="s">
        <v>50</v>
      </c>
      <c r="I21" s="95">
        <v>24000</v>
      </c>
      <c r="J21" s="95"/>
      <c r="K21" s="96">
        <f>I21*E22</f>
        <v>317.10967741935485</v>
      </c>
      <c r="L21" s="96"/>
      <c r="M21" s="97">
        <f>ROUND(K21,0)</f>
        <v>317</v>
      </c>
      <c r="N21" s="97"/>
      <c r="O21" s="94">
        <f>I21*(E20/(E19+E20))</f>
        <v>774.19354838709671</v>
      </c>
      <c r="P21" s="94"/>
      <c r="Q21" s="54"/>
    </row>
    <row r="22" spans="3:17" ht="17.25" thickTop="1">
      <c r="C22" s="3" t="s">
        <v>28</v>
      </c>
      <c r="D22" s="25"/>
      <c r="E22" s="39">
        <f>1/($D$7/(E20/(E19+E20)))</f>
        <v>1.3212903225806451E-2</v>
      </c>
      <c r="F22" s="29"/>
      <c r="G22" s="4"/>
      <c r="H22" s="3"/>
      <c r="I22" s="98" t="s">
        <v>55</v>
      </c>
      <c r="J22" s="98"/>
      <c r="K22" s="1" t="s">
        <v>56</v>
      </c>
      <c r="L22" s="1"/>
      <c r="M22" s="1" t="s">
        <v>57</v>
      </c>
      <c r="N22" s="1"/>
      <c r="O22" s="1"/>
      <c r="P22" s="1"/>
      <c r="Q22" s="67"/>
    </row>
    <row r="23" spans="3:17" ht="17.25" thickBot="1">
      <c r="C23" s="17" t="s">
        <v>52</v>
      </c>
      <c r="D23" s="5"/>
      <c r="E23" s="5"/>
      <c r="F23" s="5">
        <f>F5/E22</f>
        <v>77500</v>
      </c>
      <c r="G23" s="6" t="s">
        <v>7</v>
      </c>
      <c r="H23" s="55"/>
      <c r="I23" s="99">
        <v>672</v>
      </c>
      <c r="J23" s="99"/>
      <c r="K23" s="100">
        <f>I23*D7</f>
        <v>1640.625</v>
      </c>
      <c r="L23" s="100"/>
      <c r="M23" s="101">
        <f>I23/E22</f>
        <v>50859.375</v>
      </c>
      <c r="N23" s="101"/>
      <c r="O23" s="56"/>
      <c r="P23" s="56"/>
      <c r="Q23" s="57"/>
    </row>
    <row r="24" spans="3:17" ht="18" thickTop="1" thickBot="1"/>
    <row r="25" spans="3:17" ht="17.25" thickTop="1">
      <c r="C25" s="81" t="s">
        <v>98</v>
      </c>
      <c r="D25" s="68" t="s">
        <v>0</v>
      </c>
      <c r="E25" s="82">
        <v>2200</v>
      </c>
      <c r="F25" s="68" t="s">
        <v>1</v>
      </c>
      <c r="G25" s="83" t="s">
        <v>40</v>
      </c>
      <c r="H25" s="63" t="s">
        <v>33</v>
      </c>
      <c r="I25" s="64"/>
      <c r="J25" s="64"/>
      <c r="K25" s="64"/>
      <c r="L25" s="64"/>
      <c r="M25" s="64"/>
      <c r="N25" s="64"/>
      <c r="O25" s="64"/>
      <c r="P25" s="64"/>
      <c r="Q25" s="65"/>
    </row>
    <row r="26" spans="3:17">
      <c r="C26" s="20" t="s">
        <v>99</v>
      </c>
      <c r="D26" s="70" t="s">
        <v>9</v>
      </c>
      <c r="E26" s="69">
        <v>100</v>
      </c>
      <c r="F26" s="70" t="s">
        <v>1</v>
      </c>
      <c r="G26" s="31">
        <f>(E26/(E25+E26))</f>
        <v>4.3478260869565216E-2</v>
      </c>
      <c r="H26" s="3"/>
      <c r="I26" s="96" t="s">
        <v>30</v>
      </c>
      <c r="J26" s="96"/>
      <c r="K26" s="93" t="s">
        <v>39</v>
      </c>
      <c r="L26" s="93"/>
      <c r="M26" s="93" t="s">
        <v>2</v>
      </c>
      <c r="N26" s="93"/>
      <c r="O26" s="93" t="s">
        <v>42</v>
      </c>
      <c r="P26" s="93"/>
      <c r="Q26" s="54"/>
    </row>
    <row r="27" spans="3:17" ht="17.25" thickBot="1">
      <c r="C27" s="3"/>
      <c r="D27" s="70" t="s">
        <v>12</v>
      </c>
      <c r="E27" s="69">
        <v>0</v>
      </c>
      <c r="F27" s="70" t="s">
        <v>16</v>
      </c>
      <c r="G27" s="4"/>
      <c r="H27" s="20" t="s">
        <v>67</v>
      </c>
      <c r="I27" s="95">
        <v>24000</v>
      </c>
      <c r="J27" s="95"/>
      <c r="K27" s="96">
        <f>I27*E28</f>
        <v>427.40869565217389</v>
      </c>
      <c r="L27" s="96"/>
      <c r="M27" s="97">
        <f>ROUND(K27,0)</f>
        <v>427</v>
      </c>
      <c r="N27" s="97"/>
      <c r="O27" s="94">
        <f>I27*(E26/(E25+E26))</f>
        <v>1043.4782608695652</v>
      </c>
      <c r="P27" s="94"/>
      <c r="Q27" s="54"/>
    </row>
    <row r="28" spans="3:17" ht="17.25" thickTop="1">
      <c r="C28" s="3" t="s">
        <v>28</v>
      </c>
      <c r="D28" s="25"/>
      <c r="E28" s="39">
        <f>1/($D$7/(E26/(E25+E26)))</f>
        <v>1.7808695652173911E-2</v>
      </c>
      <c r="F28" s="70"/>
      <c r="G28" s="4"/>
      <c r="H28" s="3"/>
      <c r="I28" s="98" t="s">
        <v>55</v>
      </c>
      <c r="J28" s="98"/>
      <c r="K28" s="68" t="s">
        <v>56</v>
      </c>
      <c r="L28" s="68"/>
      <c r="M28" s="68" t="s">
        <v>57</v>
      </c>
      <c r="N28" s="68"/>
      <c r="O28" s="68"/>
      <c r="P28" s="68"/>
      <c r="Q28" s="67"/>
    </row>
    <row r="29" spans="3:17" ht="17.25" thickBot="1">
      <c r="C29" s="17" t="s">
        <v>52</v>
      </c>
      <c r="D29" s="5"/>
      <c r="E29" s="5"/>
      <c r="F29" s="5">
        <f>$F$5/E28</f>
        <v>57500.000000000007</v>
      </c>
      <c r="G29" s="6" t="s">
        <v>7</v>
      </c>
      <c r="H29" s="55"/>
      <c r="I29" s="99">
        <v>1</v>
      </c>
      <c r="J29" s="99"/>
      <c r="K29" s="100">
        <f>I29*$D$7</f>
        <v>2.44140625</v>
      </c>
      <c r="L29" s="100"/>
      <c r="M29" s="101">
        <f>I29/E28</f>
        <v>56.152343750000007</v>
      </c>
      <c r="N29" s="101"/>
      <c r="O29" s="56">
        <f>M29*4</f>
        <v>224.60937500000003</v>
      </c>
      <c r="P29" s="56"/>
      <c r="Q29" s="57"/>
    </row>
    <row r="30" spans="3:17" ht="17.25" thickTop="1"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3:17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</row>
    <row r="32" spans="3:17"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7"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</row>
    <row r="34" spans="1:17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</row>
    <row r="35" spans="1:17" s="125" customFormat="1"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</row>
    <row r="36" spans="1:17">
      <c r="C36" s="127" t="s">
        <v>100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1:17" ht="17.25" thickBot="1"/>
    <row r="38" spans="1:17" ht="17.25" thickTop="1">
      <c r="C38" s="123" t="s">
        <v>65</v>
      </c>
      <c r="D38" s="84" t="s">
        <v>0</v>
      </c>
      <c r="E38" s="82">
        <v>9400</v>
      </c>
      <c r="F38" s="84" t="s">
        <v>1</v>
      </c>
      <c r="G38" s="83" t="s">
        <v>40</v>
      </c>
      <c r="H38" s="63" t="s">
        <v>33</v>
      </c>
      <c r="I38" s="64"/>
      <c r="J38" s="64"/>
      <c r="K38" s="64"/>
      <c r="L38" s="64"/>
      <c r="M38" s="64"/>
      <c r="N38" s="64"/>
      <c r="O38" s="64"/>
      <c r="P38" s="64"/>
      <c r="Q38" s="65"/>
    </row>
    <row r="39" spans="1:17">
      <c r="C39" s="124" t="s">
        <v>66</v>
      </c>
      <c r="D39" s="85" t="s">
        <v>9</v>
      </c>
      <c r="E39" s="86">
        <v>330</v>
      </c>
      <c r="F39" s="85" t="s">
        <v>1</v>
      </c>
      <c r="G39" s="31">
        <f>(E39/(E38+E39))</f>
        <v>3.391572456320658E-2</v>
      </c>
      <c r="H39" s="3"/>
      <c r="I39" s="96" t="s">
        <v>30</v>
      </c>
      <c r="J39" s="96"/>
      <c r="K39" s="93" t="s">
        <v>39</v>
      </c>
      <c r="L39" s="93"/>
      <c r="M39" s="93" t="s">
        <v>2</v>
      </c>
      <c r="N39" s="93"/>
      <c r="O39" s="93" t="s">
        <v>41</v>
      </c>
      <c r="P39" s="93"/>
      <c r="Q39" s="54"/>
    </row>
    <row r="40" spans="1:17" ht="17.25" thickBot="1">
      <c r="C40" s="3"/>
      <c r="D40" s="85" t="s">
        <v>12</v>
      </c>
      <c r="E40" s="86">
        <v>0</v>
      </c>
      <c r="F40" s="85" t="s">
        <v>16</v>
      </c>
      <c r="G40" s="4"/>
      <c r="H40" s="20" t="s">
        <v>67</v>
      </c>
      <c r="I40" s="95">
        <v>24000</v>
      </c>
      <c r="J40" s="95"/>
      <c r="K40" s="96">
        <f>I40*E41</f>
        <v>333.40513874614601</v>
      </c>
      <c r="L40" s="96"/>
      <c r="M40" s="97">
        <f>ROUND(K40,0)</f>
        <v>333</v>
      </c>
      <c r="N40" s="97"/>
      <c r="O40" s="94">
        <f>I40*(E39/(E38+E39))</f>
        <v>813.97738951695794</v>
      </c>
      <c r="P40" s="94"/>
      <c r="Q40" s="54"/>
    </row>
    <row r="41" spans="1:17" ht="17.25" thickTop="1">
      <c r="C41" s="3" t="s">
        <v>28</v>
      </c>
      <c r="D41" s="25"/>
      <c r="E41" s="39">
        <f>1/($D$7/(E39/(E38+E39)))</f>
        <v>1.3891880781089416E-2</v>
      </c>
      <c r="F41" s="85"/>
      <c r="G41" s="4"/>
      <c r="H41" s="3"/>
      <c r="I41" s="98" t="s">
        <v>55</v>
      </c>
      <c r="J41" s="98"/>
      <c r="K41" s="84" t="s">
        <v>56</v>
      </c>
      <c r="L41" s="84"/>
      <c r="M41" s="84" t="s">
        <v>57</v>
      </c>
      <c r="N41" s="84"/>
      <c r="O41" s="84"/>
      <c r="P41" s="84"/>
      <c r="Q41" s="67"/>
    </row>
    <row r="42" spans="1:17" ht="17.25" thickBot="1">
      <c r="C42" s="17" t="s">
        <v>52</v>
      </c>
      <c r="D42" s="5"/>
      <c r="E42" s="5"/>
      <c r="F42" s="5">
        <f>$F$5/E41</f>
        <v>73712.121212121201</v>
      </c>
      <c r="G42" s="6" t="s">
        <v>7</v>
      </c>
      <c r="H42" s="55"/>
      <c r="I42" s="99">
        <v>1</v>
      </c>
      <c r="J42" s="99"/>
      <c r="K42" s="100">
        <f>I42*$D$7</f>
        <v>2.44140625</v>
      </c>
      <c r="L42" s="100"/>
      <c r="M42" s="101">
        <f>I42/E41</f>
        <v>71.98449337121211</v>
      </c>
      <c r="N42" s="101"/>
      <c r="O42" s="56">
        <f>M42*4</f>
        <v>287.93797348484844</v>
      </c>
      <c r="P42" s="56"/>
      <c r="Q42" s="57"/>
    </row>
    <row r="43" spans="1:17" ht="17.25" thickTop="1">
      <c r="A43" t="s">
        <v>10</v>
      </c>
    </row>
    <row r="44" spans="1:17">
      <c r="A44" t="s">
        <v>29</v>
      </c>
    </row>
    <row r="45" spans="1:17">
      <c r="A45" t="s">
        <v>38</v>
      </c>
    </row>
    <row r="46" spans="1:17">
      <c r="A46" t="s">
        <v>27</v>
      </c>
    </row>
    <row r="47" spans="1:17">
      <c r="A47" t="s">
        <v>27</v>
      </c>
    </row>
    <row r="48" spans="1:17">
      <c r="A48" t="s">
        <v>31</v>
      </c>
    </row>
    <row r="49" spans="1:1">
      <c r="A49" t="s">
        <v>32</v>
      </c>
    </row>
    <row r="50" spans="1:1">
      <c r="A50" t="s">
        <v>10</v>
      </c>
    </row>
  </sheetData>
  <mergeCells count="60">
    <mergeCell ref="I41:J41"/>
    <mergeCell ref="I42:J42"/>
    <mergeCell ref="K42:L42"/>
    <mergeCell ref="M42:N42"/>
    <mergeCell ref="I39:J39"/>
    <mergeCell ref="K39:L39"/>
    <mergeCell ref="M39:N39"/>
    <mergeCell ref="O39:P39"/>
    <mergeCell ref="I40:J40"/>
    <mergeCell ref="K40:L40"/>
    <mergeCell ref="M40:N40"/>
    <mergeCell ref="O40:P40"/>
    <mergeCell ref="I28:J28"/>
    <mergeCell ref="I29:J29"/>
    <mergeCell ref="K29:L29"/>
    <mergeCell ref="M29:N29"/>
    <mergeCell ref="I26:J26"/>
    <mergeCell ref="K26:L26"/>
    <mergeCell ref="M26:N26"/>
    <mergeCell ref="O26:P26"/>
    <mergeCell ref="I27:J27"/>
    <mergeCell ref="K27:L27"/>
    <mergeCell ref="M27:N27"/>
    <mergeCell ref="O27:P27"/>
    <mergeCell ref="I23:J23"/>
    <mergeCell ref="K13:L13"/>
    <mergeCell ref="K18:L18"/>
    <mergeCell ref="K23:L23"/>
    <mergeCell ref="M13:N13"/>
    <mergeCell ref="M18:N18"/>
    <mergeCell ref="M23:N23"/>
    <mergeCell ref="K21:L21"/>
    <mergeCell ref="M21:N21"/>
    <mergeCell ref="K20:L20"/>
    <mergeCell ref="M20:N20"/>
    <mergeCell ref="K15:L15"/>
    <mergeCell ref="M15:N15"/>
    <mergeCell ref="K16:L16"/>
    <mergeCell ref="M16:N16"/>
    <mergeCell ref="I12:J12"/>
    <mergeCell ref="I17:J17"/>
    <mergeCell ref="I22:J22"/>
    <mergeCell ref="I13:J13"/>
    <mergeCell ref="I18:J18"/>
    <mergeCell ref="I21:J21"/>
    <mergeCell ref="I20:J20"/>
    <mergeCell ref="I15:J15"/>
    <mergeCell ref="I16:J16"/>
    <mergeCell ref="I11:J11"/>
    <mergeCell ref="K11:L11"/>
    <mergeCell ref="M11:N11"/>
    <mergeCell ref="O11:P11"/>
    <mergeCell ref="I10:J10"/>
    <mergeCell ref="O20:P20"/>
    <mergeCell ref="O21:P21"/>
    <mergeCell ref="O15:P15"/>
    <mergeCell ref="O16:P16"/>
    <mergeCell ref="K10:L10"/>
    <mergeCell ref="M10:N10"/>
    <mergeCell ref="O10:P1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C2:P32"/>
  <sheetViews>
    <sheetView tabSelected="1" topLeftCell="A19" workbookViewId="0">
      <selection activeCell="F28" sqref="F28"/>
    </sheetView>
  </sheetViews>
  <sheetFormatPr defaultRowHeight="16.5"/>
  <cols>
    <col min="3" max="3" width="9.5" bestFit="1" customWidth="1"/>
  </cols>
  <sheetData>
    <row r="2" spans="3:16" ht="17.25" thickBot="1">
      <c r="C2" s="21"/>
    </row>
    <row r="3" spans="3:16" ht="17.25" thickTop="1">
      <c r="C3" s="76" t="s">
        <v>58</v>
      </c>
      <c r="D3" s="66"/>
      <c r="E3" s="66"/>
      <c r="F3" s="66"/>
      <c r="G3" s="2"/>
      <c r="H3" s="66"/>
      <c r="I3" s="66"/>
      <c r="J3" s="66"/>
      <c r="K3" s="66"/>
      <c r="L3" s="66"/>
      <c r="M3" s="66"/>
      <c r="N3" s="66"/>
      <c r="O3" s="66"/>
      <c r="P3" s="2"/>
    </row>
    <row r="4" spans="3:16" ht="17.25" thickBot="1">
      <c r="C4" s="3" t="s">
        <v>8</v>
      </c>
      <c r="D4" s="45" t="s">
        <v>17</v>
      </c>
      <c r="E4" s="71">
        <f>FA_FW設定值_New!E12</f>
        <v>2.5600000000000001E-2</v>
      </c>
      <c r="F4" s="45" t="s">
        <v>18</v>
      </c>
      <c r="G4" s="4"/>
      <c r="H4" s="45"/>
      <c r="I4" s="45"/>
      <c r="J4" s="45"/>
      <c r="K4" s="45"/>
      <c r="L4" s="45"/>
      <c r="M4" s="45"/>
      <c r="N4" s="45"/>
      <c r="O4" s="45"/>
      <c r="P4" s="4"/>
    </row>
    <row r="5" spans="3:16" ht="17.25" thickTop="1">
      <c r="C5" s="102" t="s">
        <v>20</v>
      </c>
      <c r="D5" s="93"/>
      <c r="E5" s="44">
        <v>35000</v>
      </c>
      <c r="F5" s="45"/>
      <c r="G5" s="4"/>
      <c r="H5" s="103" t="s">
        <v>19</v>
      </c>
      <c r="I5" s="104"/>
      <c r="J5" s="72">
        <v>614</v>
      </c>
      <c r="K5" s="45"/>
      <c r="L5" s="45"/>
      <c r="M5" s="45"/>
      <c r="N5" s="45"/>
      <c r="O5" s="45"/>
      <c r="P5" s="4"/>
    </row>
    <row r="6" spans="3:16" ht="17.25" thickBot="1">
      <c r="C6" s="102" t="s">
        <v>26</v>
      </c>
      <c r="D6" s="93"/>
      <c r="E6" s="45">
        <f>ROUND(E5*E4,0)</f>
        <v>896</v>
      </c>
      <c r="F6" s="45"/>
      <c r="G6" s="4"/>
      <c r="H6" s="102" t="s">
        <v>21</v>
      </c>
      <c r="I6" s="93"/>
      <c r="J6" s="4">
        <f>ROUND(J5/E4,0)</f>
        <v>23984</v>
      </c>
      <c r="K6" s="45"/>
      <c r="L6" s="45"/>
      <c r="M6" s="45"/>
      <c r="N6" s="45"/>
      <c r="O6" s="45"/>
      <c r="P6" s="4"/>
    </row>
    <row r="7" spans="3:16">
      <c r="C7" s="102" t="s">
        <v>22</v>
      </c>
      <c r="D7" s="93"/>
      <c r="E7" s="44">
        <v>915</v>
      </c>
      <c r="F7" s="45"/>
      <c r="G7" s="4"/>
      <c r="H7" s="38" t="s">
        <v>45</v>
      </c>
      <c r="I7" s="8"/>
      <c r="J7" s="73"/>
      <c r="K7" s="75" t="s">
        <v>61</v>
      </c>
      <c r="L7" s="46"/>
      <c r="M7" s="32" t="s">
        <v>43</v>
      </c>
      <c r="N7" s="32"/>
      <c r="O7" s="32"/>
      <c r="P7" s="33"/>
    </row>
    <row r="8" spans="3:16" ht="17.25" thickBot="1">
      <c r="C8" s="102" t="s">
        <v>23</v>
      </c>
      <c r="D8" s="93"/>
      <c r="E8" s="45">
        <f>E7-E6</f>
        <v>19</v>
      </c>
      <c r="F8" s="45" t="s">
        <v>24</v>
      </c>
      <c r="G8" s="4"/>
      <c r="H8" s="36" t="str">
        <f>DEC2HEX(E8)</f>
        <v>13</v>
      </c>
      <c r="I8" s="37"/>
      <c r="J8" s="4"/>
      <c r="K8" s="47"/>
      <c r="L8" s="34" t="s">
        <v>60</v>
      </c>
      <c r="M8" s="34" t="s">
        <v>59</v>
      </c>
      <c r="N8" s="34"/>
      <c r="O8" s="34"/>
      <c r="P8" s="35"/>
    </row>
    <row r="9" spans="3:16" ht="17.25" thickBot="1">
      <c r="C9" s="3"/>
      <c r="D9" s="45"/>
      <c r="E9" s="45" t="s">
        <v>25</v>
      </c>
      <c r="F9" s="45"/>
      <c r="G9" s="4"/>
      <c r="H9" s="77" t="s">
        <v>44</v>
      </c>
      <c r="I9" s="45"/>
      <c r="J9" s="4"/>
    </row>
    <row r="10" spans="3:16" ht="17.25" thickTop="1">
      <c r="C10" s="76" t="s">
        <v>62</v>
      </c>
      <c r="D10" s="66"/>
      <c r="E10" s="66"/>
      <c r="F10" s="66"/>
      <c r="G10" s="2"/>
      <c r="H10" s="66"/>
      <c r="I10" s="66"/>
      <c r="J10" s="66"/>
      <c r="K10" s="66"/>
      <c r="L10" s="66"/>
      <c r="M10" s="66"/>
      <c r="N10" s="66"/>
      <c r="O10" s="66"/>
      <c r="P10" s="2"/>
    </row>
    <row r="11" spans="3:16" ht="17.25" thickBot="1">
      <c r="C11" s="3" t="s">
        <v>8</v>
      </c>
      <c r="D11" s="45" t="s">
        <v>17</v>
      </c>
      <c r="E11" s="71">
        <f>FA_FW設定值_New!E17</f>
        <v>1.7808695652173911E-2</v>
      </c>
      <c r="F11" s="45" t="s">
        <v>18</v>
      </c>
      <c r="G11" s="4"/>
      <c r="H11" s="45"/>
      <c r="I11" s="45"/>
      <c r="J11" s="45"/>
      <c r="K11" s="45"/>
      <c r="L11" s="45"/>
      <c r="M11" s="45"/>
      <c r="N11" s="45"/>
      <c r="O11" s="45"/>
      <c r="P11" s="4"/>
    </row>
    <row r="12" spans="3:16" ht="17.25" thickTop="1">
      <c r="C12" s="102" t="s">
        <v>20</v>
      </c>
      <c r="D12" s="93"/>
      <c r="E12" s="44">
        <v>35000</v>
      </c>
      <c r="F12" s="45"/>
      <c r="G12" s="4"/>
      <c r="H12" s="103" t="s">
        <v>19</v>
      </c>
      <c r="I12" s="104"/>
      <c r="J12" s="72">
        <v>728</v>
      </c>
      <c r="K12" s="45"/>
      <c r="L12" s="45"/>
      <c r="M12" s="45"/>
      <c r="N12" s="45"/>
      <c r="O12" s="45"/>
      <c r="P12" s="4"/>
    </row>
    <row r="13" spans="3:16" ht="17.25" thickBot="1">
      <c r="C13" s="102" t="s">
        <v>26</v>
      </c>
      <c r="D13" s="93"/>
      <c r="E13" s="45">
        <f>ROUND(E12*E11,0)</f>
        <v>623</v>
      </c>
      <c r="F13" s="45"/>
      <c r="G13" s="4"/>
      <c r="H13" s="102" t="s">
        <v>21</v>
      </c>
      <c r="I13" s="93"/>
      <c r="J13" s="4">
        <f>ROUND(J12/E11,0)</f>
        <v>40879</v>
      </c>
      <c r="K13" s="45"/>
      <c r="L13" s="45"/>
      <c r="M13" s="45"/>
      <c r="N13" s="45"/>
      <c r="O13" s="45"/>
      <c r="P13" s="4"/>
    </row>
    <row r="14" spans="3:16">
      <c r="C14" s="102" t="s">
        <v>22</v>
      </c>
      <c r="D14" s="93"/>
      <c r="E14" s="44">
        <v>625</v>
      </c>
      <c r="F14" s="45"/>
      <c r="G14" s="4"/>
      <c r="H14" s="38" t="s">
        <v>45</v>
      </c>
      <c r="I14" s="8"/>
      <c r="J14" s="73"/>
      <c r="K14" s="75" t="s">
        <v>61</v>
      </c>
      <c r="L14" s="46"/>
      <c r="M14" s="32" t="s">
        <v>43</v>
      </c>
      <c r="N14" s="32"/>
      <c r="O14" s="32"/>
      <c r="P14" s="33"/>
    </row>
    <row r="15" spans="3:16" ht="17.25" thickBot="1">
      <c r="C15" s="102" t="s">
        <v>23</v>
      </c>
      <c r="D15" s="93"/>
      <c r="E15" s="45">
        <f>E14-E13</f>
        <v>2</v>
      </c>
      <c r="F15" s="45" t="s">
        <v>24</v>
      </c>
      <c r="G15" s="4"/>
      <c r="H15" s="36" t="str">
        <f>DEC2HEX(E15)</f>
        <v>2</v>
      </c>
      <c r="I15" s="37"/>
      <c r="J15" s="4"/>
      <c r="K15" s="47"/>
      <c r="L15" s="34" t="s">
        <v>63</v>
      </c>
      <c r="M15" s="34" t="s">
        <v>59</v>
      </c>
      <c r="N15" s="34"/>
      <c r="O15" s="34"/>
      <c r="P15" s="35"/>
    </row>
    <row r="16" spans="3:16" ht="17.25" thickBot="1">
      <c r="C16" s="3"/>
      <c r="D16" s="45"/>
      <c r="E16" s="45" t="s">
        <v>25</v>
      </c>
      <c r="F16" s="45"/>
      <c r="G16" s="4"/>
      <c r="H16" s="77" t="s">
        <v>44</v>
      </c>
      <c r="I16" s="45"/>
      <c r="J16" s="4"/>
    </row>
    <row r="17" spans="3:16" ht="17.25" thickTop="1">
      <c r="C17" s="76" t="s">
        <v>64</v>
      </c>
      <c r="D17" s="66"/>
      <c r="E17" s="66"/>
      <c r="F17" s="66"/>
      <c r="G17" s="2"/>
      <c r="H17" s="66"/>
      <c r="I17" s="66"/>
      <c r="J17" s="66"/>
      <c r="K17" s="66"/>
      <c r="L17" s="66"/>
      <c r="M17" s="66"/>
      <c r="N17" s="66"/>
      <c r="O17" s="66"/>
      <c r="P17" s="2"/>
    </row>
    <row r="18" spans="3:16" ht="17.25" thickBot="1">
      <c r="C18" s="3" t="s">
        <v>8</v>
      </c>
      <c r="D18" s="45" t="s">
        <v>17</v>
      </c>
      <c r="E18" s="71">
        <f>FA_FW設定值_New!E22</f>
        <v>1.3212903225806451E-2</v>
      </c>
      <c r="F18" s="45" t="s">
        <v>18</v>
      </c>
      <c r="G18" s="4"/>
      <c r="H18" s="45"/>
      <c r="I18" s="45"/>
      <c r="J18" s="45"/>
      <c r="K18" s="45"/>
      <c r="L18" s="45"/>
      <c r="M18" s="45"/>
      <c r="N18" s="45"/>
      <c r="O18" s="45"/>
      <c r="P18" s="4"/>
    </row>
    <row r="19" spans="3:16" ht="17.25" thickTop="1">
      <c r="C19" s="102" t="s">
        <v>20</v>
      </c>
      <c r="D19" s="93"/>
      <c r="E19" s="44">
        <v>35000</v>
      </c>
      <c r="F19" s="45"/>
      <c r="G19" s="4"/>
      <c r="H19" s="103" t="s">
        <v>19</v>
      </c>
      <c r="I19" s="104"/>
      <c r="J19" s="72">
        <v>317</v>
      </c>
      <c r="K19" s="45"/>
      <c r="L19" s="45"/>
      <c r="M19" s="45"/>
      <c r="N19" s="45"/>
      <c r="O19" s="45"/>
      <c r="P19" s="4"/>
    </row>
    <row r="20" spans="3:16" ht="17.25" thickBot="1">
      <c r="C20" s="102" t="s">
        <v>26</v>
      </c>
      <c r="D20" s="93"/>
      <c r="E20" s="45">
        <f>ROUND(E19*E18,0)</f>
        <v>462</v>
      </c>
      <c r="F20" s="45"/>
      <c r="G20" s="4"/>
      <c r="H20" s="102" t="s">
        <v>21</v>
      </c>
      <c r="I20" s="93"/>
      <c r="J20" s="4">
        <f>ROUND(J19/E18,0)</f>
        <v>23992</v>
      </c>
      <c r="K20" s="45"/>
      <c r="L20" s="45"/>
      <c r="M20" s="45"/>
      <c r="N20" s="45"/>
      <c r="O20" s="45"/>
      <c r="P20" s="4"/>
    </row>
    <row r="21" spans="3:16">
      <c r="C21" s="102" t="s">
        <v>22</v>
      </c>
      <c r="D21" s="93"/>
      <c r="E21" s="44">
        <v>463</v>
      </c>
      <c r="F21" s="45"/>
      <c r="G21" s="4"/>
      <c r="H21" s="38" t="s">
        <v>45</v>
      </c>
      <c r="I21" s="8"/>
      <c r="J21" s="73"/>
      <c r="K21" s="75" t="s">
        <v>61</v>
      </c>
      <c r="L21" s="46"/>
      <c r="M21" s="32" t="s">
        <v>43</v>
      </c>
      <c r="N21" s="32"/>
      <c r="O21" s="32"/>
      <c r="P21" s="33"/>
    </row>
    <row r="22" spans="3:16" ht="17.25" thickBot="1">
      <c r="C22" s="102" t="s">
        <v>23</v>
      </c>
      <c r="D22" s="93"/>
      <c r="E22" s="45">
        <f>E21-E20</f>
        <v>1</v>
      </c>
      <c r="F22" s="45" t="s">
        <v>24</v>
      </c>
      <c r="G22" s="4"/>
      <c r="H22" s="36" t="str">
        <f>DEC2HEX(E22)</f>
        <v>1</v>
      </c>
      <c r="I22" s="37"/>
      <c r="J22" s="4"/>
      <c r="K22" s="47"/>
      <c r="L22" s="34" t="s">
        <v>69</v>
      </c>
      <c r="M22" s="34" t="s">
        <v>59</v>
      </c>
      <c r="N22" s="34"/>
      <c r="O22" s="34"/>
      <c r="P22" s="35"/>
    </row>
    <row r="23" spans="3:16" ht="17.25" thickBot="1">
      <c r="C23" s="17"/>
      <c r="D23" s="5"/>
      <c r="E23" s="5" t="s">
        <v>25</v>
      </c>
      <c r="F23" s="5"/>
      <c r="G23" s="6"/>
      <c r="H23" s="74" t="s">
        <v>44</v>
      </c>
      <c r="I23" s="5"/>
      <c r="J23" s="6"/>
    </row>
    <row r="24" spans="3:16" ht="18" thickTop="1" thickBot="1"/>
    <row r="25" spans="3:16" ht="17.25" thickTop="1">
      <c r="C25" s="81" t="s">
        <v>105</v>
      </c>
      <c r="D25" s="80"/>
      <c r="E25" s="80"/>
      <c r="F25" s="80"/>
      <c r="G25" s="2"/>
      <c r="H25" s="80"/>
      <c r="I25" s="80"/>
      <c r="J25" s="80"/>
      <c r="K25" s="80"/>
      <c r="L25" s="80"/>
      <c r="M25" s="80"/>
      <c r="N25" s="80"/>
      <c r="O25" s="80"/>
      <c r="P25" s="2"/>
    </row>
    <row r="26" spans="3:16" ht="17.25" thickBot="1">
      <c r="C26" s="3" t="s">
        <v>8</v>
      </c>
      <c r="D26" s="79" t="s">
        <v>17</v>
      </c>
      <c r="E26" s="71">
        <f>FA_FW設定值_New!E28</f>
        <v>1.7808695652173911E-2</v>
      </c>
      <c r="F26" s="79" t="s">
        <v>18</v>
      </c>
      <c r="G26" s="4"/>
      <c r="H26" s="79"/>
      <c r="I26" s="79"/>
      <c r="J26" s="79"/>
      <c r="K26" s="79"/>
      <c r="L26" s="79"/>
      <c r="M26" s="79"/>
      <c r="N26" s="79"/>
      <c r="O26" s="79"/>
      <c r="P26" s="4"/>
    </row>
    <row r="27" spans="3:16" ht="17.25" thickTop="1">
      <c r="C27" s="102" t="s">
        <v>20</v>
      </c>
      <c r="D27" s="93"/>
      <c r="E27" s="78">
        <v>35000</v>
      </c>
      <c r="F27" s="79"/>
      <c r="G27" s="4"/>
      <c r="H27" s="103" t="s">
        <v>19</v>
      </c>
      <c r="I27" s="104"/>
      <c r="J27" s="72">
        <v>317</v>
      </c>
      <c r="K27" s="79"/>
      <c r="L27" s="79"/>
      <c r="M27" s="79"/>
      <c r="N27" s="79"/>
      <c r="O27" s="79"/>
      <c r="P27" s="4"/>
    </row>
    <row r="28" spans="3:16" ht="17.25" thickBot="1">
      <c r="C28" s="102" t="s">
        <v>26</v>
      </c>
      <c r="D28" s="93"/>
      <c r="E28" s="79">
        <f>ROUND(E27*E26,0)</f>
        <v>623</v>
      </c>
      <c r="F28" s="79"/>
      <c r="G28" s="4"/>
      <c r="H28" s="102" t="s">
        <v>21</v>
      </c>
      <c r="I28" s="93"/>
      <c r="J28" s="4">
        <f>ROUND(J27/E26,0)</f>
        <v>17800</v>
      </c>
      <c r="K28" s="79"/>
      <c r="L28" s="79"/>
      <c r="M28" s="79"/>
      <c r="N28" s="79"/>
      <c r="O28" s="79"/>
      <c r="P28" s="4"/>
    </row>
    <row r="29" spans="3:16">
      <c r="C29" s="102" t="s">
        <v>22</v>
      </c>
      <c r="D29" s="93"/>
      <c r="E29" s="78">
        <v>486</v>
      </c>
      <c r="F29" s="79"/>
      <c r="G29" s="4"/>
      <c r="H29" s="38" t="s">
        <v>45</v>
      </c>
      <c r="I29" s="8"/>
      <c r="J29" s="73"/>
      <c r="K29" s="75" t="s">
        <v>61</v>
      </c>
      <c r="L29" s="46"/>
      <c r="M29" s="32" t="s">
        <v>101</v>
      </c>
      <c r="N29" s="32"/>
      <c r="O29" s="32"/>
      <c r="P29" s="33"/>
    </row>
    <row r="30" spans="3:16" ht="17.25" thickBot="1">
      <c r="C30" s="102" t="s">
        <v>23</v>
      </c>
      <c r="D30" s="93"/>
      <c r="E30" s="79">
        <f>E29-E28</f>
        <v>-137</v>
      </c>
      <c r="F30" s="79" t="s">
        <v>24</v>
      </c>
      <c r="G30" s="4"/>
      <c r="H30" s="36" t="str">
        <f>DEC2HEX(E30)</f>
        <v>FFFFFFFF77</v>
      </c>
      <c r="I30" s="37"/>
      <c r="J30" s="4"/>
      <c r="K30" s="47"/>
      <c r="L30" s="34" t="s">
        <v>68</v>
      </c>
      <c r="M30" s="34" t="s">
        <v>103</v>
      </c>
      <c r="N30" s="34"/>
      <c r="O30" s="34"/>
      <c r="P30" s="35"/>
    </row>
    <row r="31" spans="3:16" ht="17.25" thickBot="1">
      <c r="C31" s="17"/>
      <c r="D31" s="5"/>
      <c r="E31" s="5" t="s">
        <v>25</v>
      </c>
      <c r="F31" s="5"/>
      <c r="G31" s="6"/>
      <c r="H31" s="74" t="s">
        <v>44</v>
      </c>
      <c r="I31" s="5"/>
      <c r="J31" s="6"/>
      <c r="K31" s="47"/>
      <c r="L31" s="34" t="s">
        <v>102</v>
      </c>
      <c r="M31" s="34" t="s">
        <v>104</v>
      </c>
      <c r="N31" s="34"/>
      <c r="O31" s="34"/>
      <c r="P31" s="35"/>
    </row>
    <row r="32" spans="3:16" ht="17.25" thickTop="1"/>
  </sheetData>
  <mergeCells count="24">
    <mergeCell ref="C21:D21"/>
    <mergeCell ref="C22:D22"/>
    <mergeCell ref="C14:D14"/>
    <mergeCell ref="C15:D15"/>
    <mergeCell ref="C19:D19"/>
    <mergeCell ref="H19:I19"/>
    <mergeCell ref="C20:D20"/>
    <mergeCell ref="H20:I20"/>
    <mergeCell ref="C12:D12"/>
    <mergeCell ref="H12:I12"/>
    <mergeCell ref="C13:D13"/>
    <mergeCell ref="H13:I13"/>
    <mergeCell ref="C5:D5"/>
    <mergeCell ref="C6:D6"/>
    <mergeCell ref="C7:D7"/>
    <mergeCell ref="C8:D8"/>
    <mergeCell ref="H5:I5"/>
    <mergeCell ref="H6:I6"/>
    <mergeCell ref="C30:D30"/>
    <mergeCell ref="C27:D27"/>
    <mergeCell ref="H27:I27"/>
    <mergeCell ref="C28:D28"/>
    <mergeCell ref="H28:I28"/>
    <mergeCell ref="C29:D2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F12"/>
  <sheetViews>
    <sheetView topLeftCell="B1" workbookViewId="0">
      <selection activeCell="G4" sqref="G4"/>
    </sheetView>
  </sheetViews>
  <sheetFormatPr defaultRowHeight="16.5"/>
  <cols>
    <col min="2" max="2" width="6.375" customWidth="1"/>
    <col min="3" max="6" width="23.625" customWidth="1"/>
  </cols>
  <sheetData>
    <row r="2" spans="3:6" ht="17.25" thickBot="1"/>
    <row r="3" spans="3:6" ht="17.25" thickBot="1">
      <c r="C3" s="87" t="s">
        <v>70</v>
      </c>
      <c r="D3" s="88" t="s">
        <v>71</v>
      </c>
      <c r="E3" s="89" t="s">
        <v>72</v>
      </c>
      <c r="F3" s="87" t="s">
        <v>73</v>
      </c>
    </row>
    <row r="4" spans="3:6" ht="20.25" customHeight="1" thickBot="1">
      <c r="C4" s="105" t="s">
        <v>74</v>
      </c>
      <c r="D4" s="90" t="s">
        <v>75</v>
      </c>
      <c r="E4" s="90" t="s">
        <v>76</v>
      </c>
      <c r="F4" s="108" t="s">
        <v>77</v>
      </c>
    </row>
    <row r="5" spans="3:6" ht="20.25" customHeight="1" thickBot="1">
      <c r="C5" s="106"/>
      <c r="D5" s="90" t="s">
        <v>78</v>
      </c>
      <c r="E5" s="90" t="s">
        <v>79</v>
      </c>
      <c r="F5" s="109"/>
    </row>
    <row r="6" spans="3:6" ht="20.25" customHeight="1" thickBot="1">
      <c r="C6" s="107"/>
      <c r="D6" s="90" t="s">
        <v>80</v>
      </c>
      <c r="E6" s="90" t="s">
        <v>81</v>
      </c>
      <c r="F6" s="110"/>
    </row>
    <row r="7" spans="3:6" ht="20.25" customHeight="1" thickBot="1">
      <c r="C7" s="111" t="s">
        <v>82</v>
      </c>
      <c r="D7" s="91" t="s">
        <v>83</v>
      </c>
      <c r="E7" s="91" t="s">
        <v>84</v>
      </c>
      <c r="F7" s="114" t="s">
        <v>85</v>
      </c>
    </row>
    <row r="8" spans="3:6" ht="20.25" customHeight="1" thickBot="1">
      <c r="C8" s="112"/>
      <c r="D8" s="91" t="s">
        <v>86</v>
      </c>
      <c r="E8" s="91" t="s">
        <v>87</v>
      </c>
      <c r="F8" s="115"/>
    </row>
    <row r="9" spans="3:6" ht="20.25" customHeight="1" thickBot="1">
      <c r="C9" s="113"/>
      <c r="D9" s="91" t="s">
        <v>88</v>
      </c>
      <c r="E9" s="91" t="s">
        <v>89</v>
      </c>
      <c r="F9" s="116"/>
    </row>
    <row r="10" spans="3:6" ht="20.25" customHeight="1" thickBot="1">
      <c r="C10" s="117" t="s">
        <v>90</v>
      </c>
      <c r="D10" s="92" t="s">
        <v>91</v>
      </c>
      <c r="E10" s="92" t="s">
        <v>92</v>
      </c>
      <c r="F10" s="120" t="s">
        <v>93</v>
      </c>
    </row>
    <row r="11" spans="3:6" ht="20.25" customHeight="1" thickBot="1">
      <c r="C11" s="118"/>
      <c r="D11" s="92" t="s">
        <v>94</v>
      </c>
      <c r="E11" s="92" t="s">
        <v>95</v>
      </c>
      <c r="F11" s="121"/>
    </row>
    <row r="12" spans="3:6" ht="20.25" customHeight="1" thickBot="1">
      <c r="C12" s="119"/>
      <c r="D12" s="92" t="s">
        <v>96</v>
      </c>
      <c r="E12" s="92" t="s">
        <v>97</v>
      </c>
      <c r="F12" s="122"/>
    </row>
  </sheetData>
  <mergeCells count="6">
    <mergeCell ref="C4:C6"/>
    <mergeCell ref="F4:F6"/>
    <mergeCell ref="C7:C9"/>
    <mergeCell ref="F7:F9"/>
    <mergeCell ref="C10:C12"/>
    <mergeCell ref="F10:F12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FA_FW設定值_New</vt:lpstr>
      <vt:lpstr>Voltage校正用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2014-02-12T06:40:18Z</dcterms:modified>
</cp:coreProperties>
</file>