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4915" windowHeight="11565" activeTab="7"/>
  </bookViews>
  <sheets>
    <sheet name="obrat_syntetických_účtů" sheetId="6" r:id="rId1"/>
    <sheet name="obrat_analytických_účtů" sheetId="7" r:id="rId2"/>
    <sheet name="účty" sheetId="1" r:id="rId3"/>
    <sheet name="Rozvaha" sheetId="3" r:id="rId4"/>
    <sheet name="Rozvaha-zj" sheetId="2" r:id="rId5"/>
    <sheet name="VKZS" sheetId="4" r:id="rId6"/>
    <sheet name="VZS-zj" sheetId="5" r:id="rId7"/>
    <sheet name="rozvaha-tisk" sheetId="8" r:id="rId8"/>
    <sheet name="výkaz-tisk" sheetId="9" r:id="rId9"/>
  </sheets>
  <externalReferences>
    <externalReference r:id="rId10"/>
  </externalReferences>
  <calcPr calcId="125725"/>
</workbook>
</file>

<file path=xl/calcChain.xml><?xml version="1.0" encoding="utf-8"?>
<calcChain xmlns="http://schemas.openxmlformats.org/spreadsheetml/2006/main">
  <c r="E8" i="4"/>
  <c r="K58" i="9"/>
  <c r="K59"/>
  <c r="K60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X21"/>
  <c r="X22"/>
  <c r="X23"/>
  <c r="X24"/>
  <c r="X25"/>
  <c r="X26"/>
  <c r="X27"/>
  <c r="X28"/>
  <c r="X29"/>
  <c r="X30"/>
  <c r="X32"/>
  <c r="X33"/>
  <c r="X34"/>
  <c r="X35"/>
  <c r="X36"/>
  <c r="X37"/>
  <c r="X38"/>
  <c r="X39"/>
  <c r="X41"/>
  <c r="X42"/>
  <c r="X44"/>
  <c r="X45"/>
  <c r="X47"/>
  <c r="X48"/>
  <c r="X49"/>
  <c r="X50"/>
  <c r="X51"/>
  <c r="X52"/>
  <c r="X53"/>
  <c r="X5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D15"/>
  <c r="V15"/>
  <c r="D15"/>
  <c r="A15"/>
  <c r="K45" i="8" l="1"/>
  <c r="K57" i="9" s="1"/>
  <c r="R32" i="8"/>
  <c r="R33"/>
  <c r="R34"/>
  <c r="R35"/>
  <c r="R36"/>
  <c r="R37"/>
  <c r="R38"/>
  <c r="R39"/>
  <c r="R40"/>
  <c r="R41"/>
  <c r="R42"/>
  <c r="R43"/>
  <c r="D32"/>
  <c r="D33"/>
  <c r="D34"/>
  <c r="D35"/>
  <c r="D36"/>
  <c r="D37"/>
  <c r="D38"/>
  <c r="D39"/>
  <c r="D40"/>
  <c r="D41"/>
  <c r="D42"/>
  <c r="D43"/>
  <c r="A32"/>
  <c r="A33"/>
  <c r="A34"/>
  <c r="A35"/>
  <c r="A36"/>
  <c r="A37"/>
  <c r="A38"/>
  <c r="A39"/>
  <c r="A40"/>
  <c r="A41"/>
  <c r="A42"/>
  <c r="A43"/>
  <c r="R31"/>
  <c r="A31"/>
  <c r="D31"/>
  <c r="AB32"/>
  <c r="AB33"/>
  <c r="T34"/>
  <c r="AB34"/>
  <c r="T35"/>
  <c r="AB35"/>
  <c r="T36"/>
  <c r="AB36"/>
  <c r="AB37"/>
  <c r="AB38"/>
  <c r="T39"/>
  <c r="AB39"/>
  <c r="T40"/>
  <c r="AB40"/>
  <c r="AB41"/>
  <c r="AB42"/>
  <c r="T43"/>
  <c r="AB43"/>
  <c r="AB31"/>
  <c r="X17"/>
  <c r="AB17"/>
  <c r="AF17"/>
  <c r="X18"/>
  <c r="AB18"/>
  <c r="AF18"/>
  <c r="X19"/>
  <c r="AB19"/>
  <c r="AF19"/>
  <c r="X20"/>
  <c r="AB20"/>
  <c r="AF20"/>
  <c r="X21"/>
  <c r="AB21"/>
  <c r="AF21"/>
  <c r="X22"/>
  <c r="AB22"/>
  <c r="AF22"/>
  <c r="X23"/>
  <c r="AB23"/>
  <c r="AF23"/>
  <c r="T24"/>
  <c r="X24"/>
  <c r="AB24"/>
  <c r="AF24"/>
  <c r="X25"/>
  <c r="AB25"/>
  <c r="AF25"/>
  <c r="X26"/>
  <c r="AB26"/>
  <c r="AF26"/>
  <c r="T27"/>
  <c r="X27"/>
  <c r="AB27"/>
  <c r="AF27"/>
  <c r="X16"/>
  <c r="AB16"/>
  <c r="AF16"/>
  <c r="R17"/>
  <c r="R18"/>
  <c r="R19"/>
  <c r="R20"/>
  <c r="R21"/>
  <c r="R22"/>
  <c r="R23"/>
  <c r="R24"/>
  <c r="R25"/>
  <c r="R26"/>
  <c r="R27"/>
  <c r="R16"/>
  <c r="D17"/>
  <c r="D18"/>
  <c r="D19"/>
  <c r="D20"/>
  <c r="D21"/>
  <c r="D22"/>
  <c r="D23"/>
  <c r="D24"/>
  <c r="D25"/>
  <c r="D26"/>
  <c r="D27"/>
  <c r="A17"/>
  <c r="A18"/>
  <c r="A19"/>
  <c r="A20"/>
  <c r="A21"/>
  <c r="A22"/>
  <c r="A23"/>
  <c r="A24"/>
  <c r="A25"/>
  <c r="A26"/>
  <c r="A27"/>
  <c r="A16"/>
  <c r="D16"/>
  <c r="E42" i="5"/>
  <c r="E40"/>
  <c r="E39"/>
  <c r="E37"/>
  <c r="E38"/>
  <c r="E36"/>
  <c r="E35"/>
  <c r="E23"/>
  <c r="E24"/>
  <c r="E25"/>
  <c r="E26"/>
  <c r="E28"/>
  <c r="E29"/>
  <c r="E31"/>
  <c r="E32"/>
  <c r="E34"/>
  <c r="E22"/>
  <c r="E20"/>
  <c r="E21"/>
  <c r="E19"/>
  <c r="E14"/>
  <c r="E15"/>
  <c r="E16"/>
  <c r="E17"/>
  <c r="E13"/>
  <c r="E12"/>
  <c r="E11"/>
  <c r="E10"/>
  <c r="E9"/>
  <c r="E8"/>
  <c r="I16" i="2"/>
  <c r="I17"/>
  <c r="I18"/>
  <c r="I19"/>
  <c r="I20"/>
  <c r="I21"/>
  <c r="I22"/>
  <c r="I23"/>
  <c r="I24"/>
  <c r="I25"/>
  <c r="I26"/>
  <c r="I27"/>
  <c r="I28"/>
  <c r="H28"/>
  <c r="H25"/>
  <c r="H24"/>
  <c r="H21"/>
  <c r="H20"/>
  <c r="H19"/>
  <c r="I2"/>
  <c r="G3"/>
  <c r="I3"/>
  <c r="I4"/>
  <c r="I5"/>
  <c r="I6"/>
  <c r="G7"/>
  <c r="I7"/>
  <c r="I8"/>
  <c r="I9"/>
  <c r="G10"/>
  <c r="H10"/>
  <c r="I10"/>
  <c r="G11"/>
  <c r="I11"/>
  <c r="G12"/>
  <c r="I12"/>
  <c r="G13"/>
  <c r="H13"/>
  <c r="I13"/>
  <c r="F13"/>
  <c r="F10"/>
  <c r="E59" i="4"/>
  <c r="E56"/>
  <c r="E34"/>
  <c r="E23"/>
  <c r="E20"/>
  <c r="E13"/>
  <c r="H178" i="1"/>
  <c r="H177"/>
  <c r="H176"/>
  <c r="G83" i="3"/>
  <c r="G81"/>
  <c r="G80"/>
  <c r="G93"/>
  <c r="G88"/>
  <c r="F63"/>
  <c r="E63"/>
  <c r="F58"/>
  <c r="F48"/>
  <c r="F40"/>
  <c r="E40"/>
  <c r="F24"/>
  <c r="G40"/>
  <c r="G41"/>
  <c r="G42"/>
  <c r="G43"/>
  <c r="G44"/>
  <c r="G45"/>
  <c r="G46"/>
  <c r="G47"/>
  <c r="G49"/>
  <c r="G50"/>
  <c r="G51"/>
  <c r="G52"/>
  <c r="G53"/>
  <c r="G55"/>
  <c r="G56"/>
  <c r="G57"/>
  <c r="G63"/>
  <c r="G64"/>
  <c r="G65"/>
  <c r="G66"/>
  <c r="A30" i="7"/>
  <c r="B30"/>
  <c r="C30"/>
  <c r="D30"/>
  <c r="E30"/>
  <c r="F30"/>
  <c r="G30"/>
  <c r="A31"/>
  <c r="B31"/>
  <c r="C31"/>
  <c r="D31"/>
  <c r="E31"/>
  <c r="F31"/>
  <c r="G31"/>
  <c r="A32"/>
  <c r="B32"/>
  <c r="C32"/>
  <c r="D32"/>
  <c r="E32"/>
  <c r="F32"/>
  <c r="G32"/>
  <c r="A33"/>
  <c r="B33"/>
  <c r="C33"/>
  <c r="D33"/>
  <c r="E33"/>
  <c r="F33"/>
  <c r="G33"/>
  <c r="A34"/>
  <c r="B34"/>
  <c r="C34"/>
  <c r="D34"/>
  <c r="E34"/>
  <c r="F34"/>
  <c r="G34"/>
  <c r="A35"/>
  <c r="B35"/>
  <c r="C35"/>
  <c r="D35"/>
  <c r="E35"/>
  <c r="F35"/>
  <c r="G35"/>
  <c r="A36"/>
  <c r="B36"/>
  <c r="C36"/>
  <c r="D36"/>
  <c r="E36"/>
  <c r="F36"/>
  <c r="G36"/>
  <c r="A37"/>
  <c r="B37"/>
  <c r="C37"/>
  <c r="D37"/>
  <c r="E37"/>
  <c r="F37"/>
  <c r="G37"/>
  <c r="A38"/>
  <c r="B38"/>
  <c r="C38"/>
  <c r="D38"/>
  <c r="E38"/>
  <c r="F38"/>
  <c r="G38"/>
  <c r="A39"/>
  <c r="B39"/>
  <c r="C39"/>
  <c r="D39"/>
  <c r="E39"/>
  <c r="F39"/>
  <c r="G39"/>
  <c r="A40"/>
  <c r="B40"/>
  <c r="C40"/>
  <c r="D40"/>
  <c r="E40"/>
  <c r="F40"/>
  <c r="G40"/>
  <c r="A41"/>
  <c r="B41"/>
  <c r="C41"/>
  <c r="D41"/>
  <c r="E41"/>
  <c r="F41"/>
  <c r="G41"/>
  <c r="A42"/>
  <c r="B42"/>
  <c r="C42"/>
  <c r="D42"/>
  <c r="E42"/>
  <c r="F42"/>
  <c r="G42"/>
  <c r="A43"/>
  <c r="B43"/>
  <c r="C43"/>
  <c r="D43"/>
  <c r="E43"/>
  <c r="F43"/>
  <c r="G43"/>
  <c r="A44"/>
  <c r="B44"/>
  <c r="C44"/>
  <c r="D44"/>
  <c r="E44"/>
  <c r="F44"/>
  <c r="G44"/>
  <c r="A45"/>
  <c r="B45"/>
  <c r="C45"/>
  <c r="D45"/>
  <c r="E45"/>
  <c r="F45"/>
  <c r="G45"/>
  <c r="A46"/>
  <c r="B46"/>
  <c r="C46"/>
  <c r="D46"/>
  <c r="E46"/>
  <c r="F46"/>
  <c r="G46"/>
  <c r="A47"/>
  <c r="B47"/>
  <c r="C47"/>
  <c r="D47"/>
  <c r="E47"/>
  <c r="F47"/>
  <c r="G47"/>
  <c r="A48"/>
  <c r="B48"/>
  <c r="C48"/>
  <c r="D48"/>
  <c r="E48"/>
  <c r="F48"/>
  <c r="G48"/>
  <c r="A49"/>
  <c r="B49"/>
  <c r="C49"/>
  <c r="D49"/>
  <c r="E49"/>
  <c r="F49"/>
  <c r="G49"/>
  <c r="A2"/>
  <c r="B2"/>
  <c r="C2"/>
  <c r="D2"/>
  <c r="E2"/>
  <c r="F2"/>
  <c r="G2"/>
  <c r="A3"/>
  <c r="B3"/>
  <c r="C3"/>
  <c r="D3"/>
  <c r="E3"/>
  <c r="F3"/>
  <c r="G3"/>
  <c r="A4"/>
  <c r="B4"/>
  <c r="C4"/>
  <c r="D4"/>
  <c r="E4"/>
  <c r="F4"/>
  <c r="G4"/>
  <c r="A5"/>
  <c r="B5"/>
  <c r="C5"/>
  <c r="D5"/>
  <c r="E5"/>
  <c r="F5"/>
  <c r="G5"/>
  <c r="A6"/>
  <c r="B6"/>
  <c r="C6"/>
  <c r="D6"/>
  <c r="E6"/>
  <c r="F6"/>
  <c r="G6"/>
  <c r="A7"/>
  <c r="B7"/>
  <c r="C7"/>
  <c r="D7"/>
  <c r="E7"/>
  <c r="F7"/>
  <c r="G7"/>
  <c r="A8"/>
  <c r="B8"/>
  <c r="C8"/>
  <c r="D8"/>
  <c r="E8"/>
  <c r="F8"/>
  <c r="G8"/>
  <c r="A9"/>
  <c r="B9"/>
  <c r="C9"/>
  <c r="D9"/>
  <c r="E9"/>
  <c r="F9"/>
  <c r="G9"/>
  <c r="A10"/>
  <c r="B10"/>
  <c r="C10"/>
  <c r="D10"/>
  <c r="E10"/>
  <c r="F10"/>
  <c r="G10"/>
  <c r="A11"/>
  <c r="B11"/>
  <c r="C11"/>
  <c r="D11"/>
  <c r="E11"/>
  <c r="F11"/>
  <c r="G11"/>
  <c r="A12"/>
  <c r="B12"/>
  <c r="C12"/>
  <c r="D12"/>
  <c r="E12"/>
  <c r="F12"/>
  <c r="G12"/>
  <c r="A13"/>
  <c r="B13"/>
  <c r="C13"/>
  <c r="D13"/>
  <c r="E13"/>
  <c r="F13"/>
  <c r="G13"/>
  <c r="A14"/>
  <c r="B14"/>
  <c r="C14"/>
  <c r="D14"/>
  <c r="E14"/>
  <c r="F14"/>
  <c r="G14"/>
  <c r="A15"/>
  <c r="B15"/>
  <c r="C15"/>
  <c r="D15"/>
  <c r="E15"/>
  <c r="F15"/>
  <c r="G15"/>
  <c r="A16"/>
  <c r="B16"/>
  <c r="C16"/>
  <c r="D16"/>
  <c r="E16"/>
  <c r="F16"/>
  <c r="G16"/>
  <c r="A17"/>
  <c r="B17"/>
  <c r="C17"/>
  <c r="D17"/>
  <c r="E17"/>
  <c r="F17"/>
  <c r="G17"/>
  <c r="A18"/>
  <c r="B18"/>
  <c r="C18"/>
  <c r="D18"/>
  <c r="E18"/>
  <c r="F18"/>
  <c r="G18"/>
  <c r="A19"/>
  <c r="B19"/>
  <c r="C19"/>
  <c r="D19"/>
  <c r="E19"/>
  <c r="F19"/>
  <c r="G19"/>
  <c r="A20"/>
  <c r="B20"/>
  <c r="C20"/>
  <c r="D20"/>
  <c r="E20"/>
  <c r="F20"/>
  <c r="G20"/>
  <c r="A21"/>
  <c r="B21"/>
  <c r="C21"/>
  <c r="D21"/>
  <c r="E21"/>
  <c r="F21"/>
  <c r="G21"/>
  <c r="A22"/>
  <c r="B22"/>
  <c r="C22"/>
  <c r="D22"/>
  <c r="E22"/>
  <c r="F22"/>
  <c r="G22"/>
  <c r="A23"/>
  <c r="B23"/>
  <c r="C23"/>
  <c r="D23"/>
  <c r="E23"/>
  <c r="F23"/>
  <c r="G23"/>
  <c r="A24"/>
  <c r="B24"/>
  <c r="C24"/>
  <c r="D24"/>
  <c r="E24"/>
  <c r="F24"/>
  <c r="G24"/>
  <c r="A25"/>
  <c r="B25"/>
  <c r="C25"/>
  <c r="D25"/>
  <c r="E25"/>
  <c r="F25"/>
  <c r="G25"/>
  <c r="A26"/>
  <c r="B26"/>
  <c r="C26"/>
  <c r="D26"/>
  <c r="E26"/>
  <c r="F26"/>
  <c r="G26"/>
  <c r="A27"/>
  <c r="B27"/>
  <c r="C27"/>
  <c r="D27"/>
  <c r="E27"/>
  <c r="F27"/>
  <c r="G27"/>
  <c r="A28"/>
  <c r="B28"/>
  <c r="C28"/>
  <c r="D28"/>
  <c r="E28"/>
  <c r="F28"/>
  <c r="G28"/>
  <c r="A29"/>
  <c r="B29"/>
  <c r="C29"/>
  <c r="D29"/>
  <c r="E29"/>
  <c r="F29"/>
  <c r="G29"/>
  <c r="B1"/>
  <c r="C1"/>
  <c r="D1"/>
  <c r="E1"/>
  <c r="F1"/>
  <c r="G1"/>
  <c r="A1"/>
  <c r="A2" i="6"/>
  <c r="B2"/>
  <c r="E111" i="3" s="1"/>
  <c r="C2" i="6"/>
  <c r="D2"/>
  <c r="E2"/>
  <c r="F2"/>
  <c r="I4" s="1"/>
  <c r="A3"/>
  <c r="B3"/>
  <c r="C3"/>
  <c r="D3"/>
  <c r="E3"/>
  <c r="F3"/>
  <c r="A4"/>
  <c r="B4"/>
  <c r="C4"/>
  <c r="D4"/>
  <c r="E4"/>
  <c r="F4"/>
  <c r="A5"/>
  <c r="B5"/>
  <c r="C5"/>
  <c r="D5"/>
  <c r="E5"/>
  <c r="F5"/>
  <c r="A6"/>
  <c r="B6"/>
  <c r="C6"/>
  <c r="D6"/>
  <c r="E6"/>
  <c r="F6"/>
  <c r="A7"/>
  <c r="B7"/>
  <c r="C7"/>
  <c r="D7"/>
  <c r="E7"/>
  <c r="F7"/>
  <c r="A8"/>
  <c r="B8"/>
  <c r="C8"/>
  <c r="D8"/>
  <c r="E8"/>
  <c r="F8"/>
  <c r="A9"/>
  <c r="B9"/>
  <c r="C9"/>
  <c r="D9"/>
  <c r="E9"/>
  <c r="F9"/>
  <c r="A10"/>
  <c r="B10"/>
  <c r="C10"/>
  <c r="D10"/>
  <c r="E10"/>
  <c r="F10"/>
  <c r="A11"/>
  <c r="B11"/>
  <c r="C11"/>
  <c r="D11"/>
  <c r="E11"/>
  <c r="F11"/>
  <c r="A12"/>
  <c r="B12"/>
  <c r="C12"/>
  <c r="D12"/>
  <c r="E12"/>
  <c r="F12"/>
  <c r="A13"/>
  <c r="B13"/>
  <c r="C13"/>
  <c r="D13"/>
  <c r="E13"/>
  <c r="F13"/>
  <c r="A14"/>
  <c r="B14"/>
  <c r="C14"/>
  <c r="D14"/>
  <c r="E14"/>
  <c r="F14"/>
  <c r="A15"/>
  <c r="B15"/>
  <c r="C15"/>
  <c r="D15"/>
  <c r="E15"/>
  <c r="F15"/>
  <c r="A16"/>
  <c r="B16"/>
  <c r="C16"/>
  <c r="D16"/>
  <c r="E16"/>
  <c r="F16"/>
  <c r="A17"/>
  <c r="B17"/>
  <c r="C17"/>
  <c r="D17"/>
  <c r="E17"/>
  <c r="F17"/>
  <c r="A18"/>
  <c r="B18"/>
  <c r="C18"/>
  <c r="D18"/>
  <c r="E18"/>
  <c r="F18"/>
  <c r="A19"/>
  <c r="B19"/>
  <c r="C19"/>
  <c r="D19"/>
  <c r="E19"/>
  <c r="F19"/>
  <c r="A20"/>
  <c r="B20"/>
  <c r="C20"/>
  <c r="D20"/>
  <c r="E20"/>
  <c r="F20"/>
  <c r="A21"/>
  <c r="B21"/>
  <c r="C21"/>
  <c r="D21"/>
  <c r="E21"/>
  <c r="F21"/>
  <c r="A22"/>
  <c r="B22"/>
  <c r="C22"/>
  <c r="D22"/>
  <c r="E22"/>
  <c r="F22"/>
  <c r="A23"/>
  <c r="B23"/>
  <c r="C23"/>
  <c r="D23"/>
  <c r="E23"/>
  <c r="F23"/>
  <c r="A24"/>
  <c r="B24"/>
  <c r="C24"/>
  <c r="D24"/>
  <c r="E24"/>
  <c r="F24"/>
  <c r="A25"/>
  <c r="B25"/>
  <c r="C25"/>
  <c r="D25"/>
  <c r="E25"/>
  <c r="F25"/>
  <c r="A26"/>
  <c r="B26"/>
  <c r="C26"/>
  <c r="D26"/>
  <c r="E26"/>
  <c r="F26"/>
  <c r="A27"/>
  <c r="B27"/>
  <c r="C27"/>
  <c r="D27"/>
  <c r="E27"/>
  <c r="F27"/>
  <c r="A28"/>
  <c r="B28"/>
  <c r="C28"/>
  <c r="D28"/>
  <c r="E28"/>
  <c r="F28"/>
  <c r="A29"/>
  <c r="B29"/>
  <c r="C29"/>
  <c r="D29"/>
  <c r="E29"/>
  <c r="F29"/>
  <c r="A30"/>
  <c r="B30"/>
  <c r="C30"/>
  <c r="D30"/>
  <c r="E30"/>
  <c r="F30"/>
  <c r="A31"/>
  <c r="B31"/>
  <c r="C31"/>
  <c r="D31"/>
  <c r="E31"/>
  <c r="F31"/>
  <c r="B1"/>
  <c r="C1"/>
  <c r="D1"/>
  <c r="E1"/>
  <c r="F1"/>
  <c r="A1"/>
  <c r="E3" i="3" l="1"/>
  <c r="F3" i="2" s="1"/>
  <c r="T17" i="8" s="1"/>
  <c r="E6" i="3"/>
  <c r="E7"/>
  <c r="E8"/>
  <c r="E9"/>
  <c r="E10"/>
  <c r="E11"/>
  <c r="E16"/>
  <c r="E17"/>
  <c r="E18"/>
  <c r="E19"/>
  <c r="E15"/>
  <c r="E20"/>
  <c r="E12"/>
  <c r="E13"/>
  <c r="G13" s="1"/>
  <c r="E31"/>
  <c r="G31" s="1"/>
  <c r="E21"/>
  <c r="E22"/>
  <c r="G22" s="1"/>
  <c r="E30"/>
  <c r="G30" s="1"/>
  <c r="E25"/>
  <c r="E26"/>
  <c r="G26" s="1"/>
  <c r="E27"/>
  <c r="G27" s="1"/>
  <c r="E28"/>
  <c r="G28" s="1"/>
  <c r="E29"/>
  <c r="G29" s="1"/>
  <c r="F6"/>
  <c r="F11"/>
  <c r="F7"/>
  <c r="F8"/>
  <c r="F9"/>
  <c r="F10"/>
  <c r="F16"/>
  <c r="F17"/>
  <c r="F18"/>
  <c r="F19"/>
  <c r="F20"/>
  <c r="F12"/>
  <c r="F21"/>
  <c r="E23"/>
  <c r="F23"/>
  <c r="E34"/>
  <c r="E35"/>
  <c r="E36"/>
  <c r="E37"/>
  <c r="E39"/>
  <c r="E38"/>
  <c r="F34"/>
  <c r="F35"/>
  <c r="F36"/>
  <c r="F37"/>
  <c r="F38"/>
  <c r="F39"/>
  <c r="E59"/>
  <c r="E60"/>
  <c r="G60" s="1"/>
  <c r="G118"/>
  <c r="G113"/>
  <c r="G119"/>
  <c r="G73"/>
  <c r="E61"/>
  <c r="G61" s="1"/>
  <c r="E62"/>
  <c r="G62" s="1"/>
  <c r="G105"/>
  <c r="G112"/>
  <c r="G109"/>
  <c r="G111"/>
  <c r="G71"/>
  <c r="H18" i="2" s="1"/>
  <c r="T33" i="8" s="1"/>
  <c r="E10" i="4"/>
  <c r="E11"/>
  <c r="E46"/>
  <c r="E30" i="5" s="1"/>
  <c r="X43" i="9" s="1"/>
  <c r="E2" i="4"/>
  <c r="E3"/>
  <c r="E3" i="5" s="1"/>
  <c r="X16" i="9" s="1"/>
  <c r="E6" i="4"/>
  <c r="E5" s="1"/>
  <c r="E5" i="5" s="1"/>
  <c r="X18" i="9" s="1"/>
  <c r="E43" i="4"/>
  <c r="E27" i="5" s="1"/>
  <c r="X40" i="9" s="1"/>
  <c r="E54" i="3"/>
  <c r="E5"/>
  <c r="G3"/>
  <c r="H3" i="2" s="1"/>
  <c r="G59" i="3"/>
  <c r="G34"/>
  <c r="G25"/>
  <c r="G15"/>
  <c r="E49" i="4"/>
  <c r="E33" i="5" s="1"/>
  <c r="X46" i="9" s="1"/>
  <c r="E48" i="3" l="1"/>
  <c r="G54"/>
  <c r="E2" i="5"/>
  <c r="X15" i="9" s="1"/>
  <c r="E4" i="4"/>
  <c r="E4" i="5" s="1"/>
  <c r="X17" i="9" s="1"/>
  <c r="E9" i="4"/>
  <c r="G104" i="3"/>
  <c r="G116"/>
  <c r="H27" i="2" s="1"/>
  <c r="T42" i="8" s="1"/>
  <c r="E58" i="3"/>
  <c r="F33"/>
  <c r="G38"/>
  <c r="G39"/>
  <c r="G37"/>
  <c r="G36"/>
  <c r="G35"/>
  <c r="E33"/>
  <c r="G23"/>
  <c r="F14"/>
  <c r="G6" i="2" s="1"/>
  <c r="F5" i="3"/>
  <c r="E24"/>
  <c r="G21"/>
  <c r="G12"/>
  <c r="G20"/>
  <c r="E14"/>
  <c r="G19"/>
  <c r="G18"/>
  <c r="G17"/>
  <c r="G16"/>
  <c r="G11"/>
  <c r="G10"/>
  <c r="G9"/>
  <c r="G8"/>
  <c r="G7"/>
  <c r="G6"/>
  <c r="F5" i="2"/>
  <c r="T19" i="8" s="1"/>
  <c r="G5" i="3"/>
  <c r="H5" i="2" s="1"/>
  <c r="E4" i="3"/>
  <c r="F6" i="2" l="1"/>
  <c r="T20" i="8" s="1"/>
  <c r="G14" i="3"/>
  <c r="H6" i="2" s="1"/>
  <c r="F7"/>
  <c r="T21" i="8" s="1"/>
  <c r="G24" i="3"/>
  <c r="H7" i="2" s="1"/>
  <c r="G5"/>
  <c r="F4" i="3"/>
  <c r="F9" i="2"/>
  <c r="T23" i="8" s="1"/>
  <c r="E32" i="3"/>
  <c r="G33"/>
  <c r="H9" i="2" s="1"/>
  <c r="G9"/>
  <c r="F32" i="3"/>
  <c r="G8" i="2" s="1"/>
  <c r="F12"/>
  <c r="T26" i="8" s="1"/>
  <c r="G58" i="3"/>
  <c r="H12" i="2" s="1"/>
  <c r="H26"/>
  <c r="T41" i="8" s="1"/>
  <c r="G87" i="3"/>
  <c r="H23" i="2" s="1"/>
  <c r="T38" i="8" s="1"/>
  <c r="E6" i="5"/>
  <c r="X19" i="9" s="1"/>
  <c r="E12" i="4"/>
  <c r="E7" i="5" s="1"/>
  <c r="X20" i="9" s="1"/>
  <c r="E31" i="4"/>
  <c r="F11" i="2"/>
  <c r="T25" i="8" s="1"/>
  <c r="G48" i="3"/>
  <c r="H11" i="2" s="1"/>
  <c r="G4" i="3"/>
  <c r="H4" i="2" s="1"/>
  <c r="F4"/>
  <c r="T18" i="8" s="1"/>
  <c r="E18" i="5" l="1"/>
  <c r="X31" i="9" s="1"/>
  <c r="E61" i="4"/>
  <c r="E2" i="3"/>
  <c r="F8" i="2"/>
  <c r="T22" i="8" s="1"/>
  <c r="G32" i="3"/>
  <c r="H8" i="2" s="1"/>
  <c r="G4"/>
  <c r="F2" i="3"/>
  <c r="G2" i="2" s="1"/>
  <c r="G2" i="3" l="1"/>
  <c r="H2" i="2" s="1"/>
  <c r="F2"/>
  <c r="T16" i="8" s="1"/>
  <c r="G64" i="4"/>
  <c r="E41" i="5"/>
  <c r="X54" i="9" s="1"/>
  <c r="G86" i="3"/>
  <c r="H22" i="2" l="1"/>
  <c r="T37" i="8" s="1"/>
  <c r="G70" i="3"/>
  <c r="G69" l="1"/>
  <c r="H16" i="2" s="1"/>
  <c r="T31" i="8" s="1"/>
  <c r="H17" i="2"/>
  <c r="T32" i="8" s="1"/>
</calcChain>
</file>

<file path=xl/sharedStrings.xml><?xml version="1.0" encoding="utf-8"?>
<sst xmlns="http://schemas.openxmlformats.org/spreadsheetml/2006/main" count="1382" uniqueCount="932">
  <si>
    <t>Název účtu</t>
  </si>
  <si>
    <t>Položka rozvahy</t>
  </si>
  <si>
    <t>Položka výkazu zisku a ztráty</t>
  </si>
  <si>
    <t>Aktiva</t>
  </si>
  <si>
    <t>Pasiva</t>
  </si>
  <si>
    <t>ÚČTOVÁ TŘÍDA 0 - DLOUHODOBÝ MAJETEK</t>
  </si>
  <si>
    <t>01 - Dlouhodobý nehmotný majetek</t>
  </si>
  <si>
    <t>011 - Zřizovací výdaje</t>
  </si>
  <si>
    <t>B.I.1.</t>
  </si>
  <si>
    <t>012 - Nehmotné výsledky výzkumu a vývoje</t>
  </si>
  <si>
    <t>B.I.2.</t>
  </si>
  <si>
    <t>013 - Software</t>
  </si>
  <si>
    <t>B.I.3.</t>
  </si>
  <si>
    <t>014 - Ocenitelná práva</t>
  </si>
  <si>
    <t>B.I.4.</t>
  </si>
  <si>
    <t>015 - Goodwill</t>
  </si>
  <si>
    <t>B.I.5.</t>
  </si>
  <si>
    <t>019 - Jiný dlouhodobý nehmotný majetek</t>
  </si>
  <si>
    <t>B.I.6.</t>
  </si>
  <si>
    <t>02 - Dlouhodobý hmotný majetek odpisovaný</t>
  </si>
  <si>
    <t>021 - Stavby</t>
  </si>
  <si>
    <t>B.II.2.</t>
  </si>
  <si>
    <t>022 - Samostatné movité věci a soubory movitých věcí</t>
  </si>
  <si>
    <t>B.II.3.</t>
  </si>
  <si>
    <t>025 - Pěstitelské celky trvalých porostů</t>
  </si>
  <si>
    <t>B.II.4.</t>
  </si>
  <si>
    <t>026 - Základní stádo, tažná zvířata</t>
  </si>
  <si>
    <t>B.II.5.</t>
  </si>
  <si>
    <t>029 - Jiný dlouhodobý hmotný majetek</t>
  </si>
  <si>
    <t>B.II.6.</t>
  </si>
  <si>
    <t>03 - Dlouhodobý hmotný majetek neodpisovaný</t>
  </si>
  <si>
    <t>031 - Pozemky</t>
  </si>
  <si>
    <t>B.II.1.</t>
  </si>
  <si>
    <t>032 - Umělecká díla a sbírky</t>
  </si>
  <si>
    <t>04 - Nedokončený dlouhodobý nehmotný a hmotný maje - tek a pořizovaný dlouhodobý finanční majetek</t>
  </si>
  <si>
    <t>041 - Pořízení dlouhodobého nehmotného majetku</t>
  </si>
  <si>
    <t>B.I.7.</t>
  </si>
  <si>
    <t>042 - Pořízení dlouhodobého hmotného majetku</t>
  </si>
  <si>
    <t>B.II.7.</t>
  </si>
  <si>
    <t>043 - Pořízení dlouhodobého finančního majetku</t>
  </si>
  <si>
    <t>B.III.6.</t>
  </si>
  <si>
    <t>05 - Poskytnuté zálohy na dlouhodobý majetek</t>
  </si>
  <si>
    <t>051 - Poskytnuté zálohy na dlouhodobý nehmotný majetek</t>
  </si>
  <si>
    <t>B.I.8.</t>
  </si>
  <si>
    <t>052 - Poskytnuté zálohy na dlouhodobý hmotný majetek</t>
  </si>
  <si>
    <t>B.II.8.</t>
  </si>
  <si>
    <t>053 - Poskytnuté zálohy na dlouhodobý finanční majetek</t>
  </si>
  <si>
    <t>B.III.7.</t>
  </si>
  <si>
    <t>06 - Dlouhodobý finanční majetek</t>
  </si>
  <si>
    <t>061 - Podíly v ovládaných a řízených osobách</t>
  </si>
  <si>
    <t>B.III.1.</t>
  </si>
  <si>
    <t>062 - Podíly v účetních jednotkách pod podstatným vlivem</t>
  </si>
  <si>
    <t>B.III.2.</t>
  </si>
  <si>
    <t>063 - Realizovatelné cenné papíry a podíly</t>
  </si>
  <si>
    <t>B.III.3.</t>
  </si>
  <si>
    <t>065 - Dlužné cenné papíry držené do splatnosti</t>
  </si>
  <si>
    <t>B.III.4.</t>
  </si>
  <si>
    <t>067 - Ostatní půjčky</t>
  </si>
  <si>
    <t>B.III.5.</t>
  </si>
  <si>
    <t>069 - Jiný dlouhodobý finanční majetek</t>
  </si>
  <si>
    <t>07 - Oprávky k dlouhodobému nehmotnému majetku</t>
  </si>
  <si>
    <t>071 - Oprávky ke zřizovacím výdajům</t>
  </si>
  <si>
    <t>K/B.I.1.</t>
  </si>
  <si>
    <t>072 - Oprávky k nehmotným výsledkům výzkumu a vývoje</t>
  </si>
  <si>
    <t>K/B.I.2.</t>
  </si>
  <si>
    <t>073 - Oprávky k softwaru</t>
  </si>
  <si>
    <t>K/B.I.3.</t>
  </si>
  <si>
    <t>074 - Oprávky k ocenitelným právům</t>
  </si>
  <si>
    <t>K/B.I.4.</t>
  </si>
  <si>
    <t>075 - Oprávky ke goodwillu</t>
  </si>
  <si>
    <t>K/B.I.5.</t>
  </si>
  <si>
    <t>079 - Oprávky k jinému dlouhodobému nehmotnému majetku</t>
  </si>
  <si>
    <t>K/B.I.6.</t>
  </si>
  <si>
    <t>08 - Oprávky k dlouhodobému hmotnému majetku</t>
  </si>
  <si>
    <t>081 - Oprávky ke stavbám</t>
  </si>
  <si>
    <t>K/B.II.2.</t>
  </si>
  <si>
    <t>082 - Oprávky k samostatným movitým věcem a souborům movitých věcí</t>
  </si>
  <si>
    <t>K/B.II.3.</t>
  </si>
  <si>
    <t>085 - Oprávky k pěstitelským celkům trvalých porostů</t>
  </si>
  <si>
    <t>K/B.II.4.</t>
  </si>
  <si>
    <t>086 - Oprávky k základnímu stádu a tažným zvířatům</t>
  </si>
  <si>
    <t>K/B.II.5.</t>
  </si>
  <si>
    <t>089 - Oprávky k jinému dlouhodobému hmotnému majetku</t>
  </si>
  <si>
    <t>K/B.II.6.</t>
  </si>
  <si>
    <t>09 - Opravné položky k dlouhodobému majetku</t>
  </si>
  <si>
    <t>091 - Opravná položka k dlouhodobému nehmotnému majetku</t>
  </si>
  <si>
    <t>K/B.I.1. až 6.</t>
  </si>
  <si>
    <t>092 - Opravná položka k dlouhodobému hmotnému majetku</t>
  </si>
  <si>
    <t>K/B.II. 1. až 6.</t>
  </si>
  <si>
    <t>093 - Opravná položka k dlouhodobému nedokončenému nehmotnému majetku</t>
  </si>
  <si>
    <t>K/B.I.7.</t>
  </si>
  <si>
    <t>094 - Opravná položka k dlouhodobému nedokončenému hmotnému majetku</t>
  </si>
  <si>
    <t>K/B.II.7.</t>
  </si>
  <si>
    <t>095 - Opravná položka k poskytnutým zálohám</t>
  </si>
  <si>
    <t>K/B.I.8., K/B.II.8., K/B.III.7.</t>
  </si>
  <si>
    <t>096 - Opravná položka k dlouhodobému finančnímu majetku</t>
  </si>
  <si>
    <t>K/B.III. 1. až 6.</t>
  </si>
  <si>
    <t>097 - Oceňovací rozdíl k nabytému majetku</t>
  </si>
  <si>
    <t>B.II.9.</t>
  </si>
  <si>
    <t>098 - Oprávky k oceňovacímu rozdílu k nabytému majetku</t>
  </si>
  <si>
    <t>K/B.II.9.</t>
  </si>
  <si>
    <t>ÚČTOVÁ TŘÍDA 1 - ZÁSOBY</t>
  </si>
  <si>
    <t>11 - Materiál</t>
  </si>
  <si>
    <t>111 - Pořízení materiálu</t>
  </si>
  <si>
    <t>C.I.1.</t>
  </si>
  <si>
    <t>112 - Materiál na skladě</t>
  </si>
  <si>
    <t>118 - Poskytnuté zálohy na materiál</t>
  </si>
  <si>
    <t>C.I.6.</t>
  </si>
  <si>
    <t>119 - Materiál na cestě</t>
  </si>
  <si>
    <t>12 - Zásoby vlastní výroby</t>
  </si>
  <si>
    <t>121 - Nedokončená výroba</t>
  </si>
  <si>
    <t>C.I.2.</t>
  </si>
  <si>
    <t>122 - Polotovary vlastní výroby</t>
  </si>
  <si>
    <t>123 - Výrobky</t>
  </si>
  <si>
    <t>C.I.3.</t>
  </si>
  <si>
    <t>124 - Zvířata</t>
  </si>
  <si>
    <t>C.I.4.</t>
  </si>
  <si>
    <t>128 - Poskytnuté zálohy na zvířata</t>
  </si>
  <si>
    <t>13 - Zboží</t>
  </si>
  <si>
    <t>131 - Pořízení zboží</t>
  </si>
  <si>
    <t>C.I.5.</t>
  </si>
  <si>
    <t>132 - Zboží na skladě a v prodejnách</t>
  </si>
  <si>
    <t>138 - Poskytnuté zálohy na zboží</t>
  </si>
  <si>
    <t>139 - Zboží na cestě</t>
  </si>
  <si>
    <t>19 - Opravné položky k zásobám</t>
  </si>
  <si>
    <t>191 - Opravná položka k materiálu</t>
  </si>
  <si>
    <t>K/C.I.1.</t>
  </si>
  <si>
    <t>192 - Opravná položka k nedokončené výrobě</t>
  </si>
  <si>
    <t>K/C.I.2.</t>
  </si>
  <si>
    <t>193 - Opravná položka k polotovarům vlastní výroby</t>
  </si>
  <si>
    <t>194 - Opravná položka k výrobkům</t>
  </si>
  <si>
    <t>K/C.I.3.</t>
  </si>
  <si>
    <t>195 - Opravná položka ke zvířatům</t>
  </si>
  <si>
    <t>K/C.I.4.</t>
  </si>
  <si>
    <t>196 - Opravná položka ke zboží</t>
  </si>
  <si>
    <t>K/C.I.5.</t>
  </si>
  <si>
    <t>197 - Opravná položka k zálohám na materiál</t>
  </si>
  <si>
    <t>K/C.I.6.</t>
  </si>
  <si>
    <t>198 - Opravná položka k zálohám na zboží</t>
  </si>
  <si>
    <t>199 - Opravná položka k zálohám na zvířata</t>
  </si>
  <si>
    <t>ÚČTOVÁ TŘÍDA 2 - FINANČNÍ ÚČTY</t>
  </si>
  <si>
    <t>21 - Peníze</t>
  </si>
  <si>
    <t>211 - Pokladna</t>
  </si>
  <si>
    <t>C.IV.1.</t>
  </si>
  <si>
    <t>213 - Ceniny</t>
  </si>
  <si>
    <t>22 - Účty v bankách</t>
  </si>
  <si>
    <t>221 - Bankovní účty</t>
  </si>
  <si>
    <t>C.IV.2.</t>
  </si>
  <si>
    <t>B.IV.2.</t>
  </si>
  <si>
    <t>23 - Běžné bankovní úvěry</t>
  </si>
  <si>
    <t>231 - Krátkodobé bankovní úvěry</t>
  </si>
  <si>
    <t>232 - Eskontní úvěry</t>
  </si>
  <si>
    <t>24 - Jiné krátkodobé finanční výpomoci</t>
  </si>
  <si>
    <t>241 - Emitované krátkodobé dluhopisy</t>
  </si>
  <si>
    <t>B.III.9</t>
  </si>
  <si>
    <t>249 - Ostatní krátkodobé finanční výpomoci</t>
  </si>
  <si>
    <t>B.IV.3.</t>
  </si>
  <si>
    <t>25 - Krátkodobý finanční majetek</t>
  </si>
  <si>
    <t>251 - Majetkové cenné papíry k obchodování</t>
  </si>
  <si>
    <t>C.IV.3.</t>
  </si>
  <si>
    <t>252 - Vlastní akcie a vlastní obchodní podíly</t>
  </si>
  <si>
    <t>A.I.2.</t>
  </si>
  <si>
    <t>253 - Dlužné cenné papíry k obchodování</t>
  </si>
  <si>
    <t>255 - Vlastní dluhopisy</t>
  </si>
  <si>
    <t>B.II.6., B.III.9.</t>
  </si>
  <si>
    <t>256 - Dlužné cenné papíry se splatností do jednoho roku držené do splatnosti</t>
  </si>
  <si>
    <t>257 - Ostatní realizovatelné cenné papíry</t>
  </si>
  <si>
    <t>259 - Pořizování krátkodobého finančního majetku</t>
  </si>
  <si>
    <t>C.IV.4.</t>
  </si>
  <si>
    <t>26 - Převody mezi finančními účty</t>
  </si>
  <si>
    <t>261 - Peníze na cestě</t>
  </si>
  <si>
    <t>C.IV.1., C.IV.2.</t>
  </si>
  <si>
    <t>29 - Opravné položky ke krátkodobému finančnímu majetku</t>
  </si>
  <si>
    <t>291 - Opravná položka ke krátkodobému finančnímu majetku</t>
  </si>
  <si>
    <t>K/C.IV.3., K/C.IV.4.</t>
  </si>
  <si>
    <t>ÚČTOVÁ TŘÍDA 3 - ZÚČTOVACÍ VZTAHY</t>
  </si>
  <si>
    <t>31 - Pohledávky (krátkodobé i dlouhodobé)</t>
  </si>
  <si>
    <t>311 - Pohledávky z obchodních vztahů</t>
  </si>
  <si>
    <t>C.II.1., C.III.1.</t>
  </si>
  <si>
    <t>312 - Směnky k inkasu</t>
  </si>
  <si>
    <t>313 - Pohledávky za eskontované cenné papíry</t>
  </si>
  <si>
    <t>314 - Poskytnuté provozní zálohy</t>
  </si>
  <si>
    <t>C.II.1., C.III.7.</t>
  </si>
  <si>
    <t>315 - Ostatní pohledávky</t>
  </si>
  <si>
    <t>32 - Závazky (krátkodobé)</t>
  </si>
  <si>
    <t>321 - Závazky z obchodních vztahů</t>
  </si>
  <si>
    <t>B.II.1., B.III.1.</t>
  </si>
  <si>
    <t>322 - Směnky k úhradě</t>
  </si>
  <si>
    <t>324 - Přijaté provozní zálohy</t>
  </si>
  <si>
    <t>B.III.8.</t>
  </si>
  <si>
    <t>325 - Ostatní závazky</t>
  </si>
  <si>
    <t>33 - Zúčtování se zaměstnanci a institucemi</t>
  </si>
  <si>
    <t>331 - Zaměstnanci</t>
  </si>
  <si>
    <t>333 - Ostatní závazky vůči zaměstnancům</t>
  </si>
  <si>
    <t>335 - Pohledávky za zaměstnanci</t>
  </si>
  <si>
    <t>C.II.6., C.III.9.</t>
  </si>
  <si>
    <t>336 - Zúčtování s institucemi sociálního zabezpečení a zdravotního pojištění</t>
  </si>
  <si>
    <t>C.III.5.</t>
  </si>
  <si>
    <t>34 - Zúčtování daní a dotací</t>
  </si>
  <si>
    <t>341 - Daň z příjmů</t>
  </si>
  <si>
    <t>C.III.6.</t>
  </si>
  <si>
    <t>342 - Ostatní přímé daně</t>
  </si>
  <si>
    <t>343 - Daň z přidané hodnoty</t>
  </si>
  <si>
    <t>345 - Ostatní daně a poplatky</t>
  </si>
  <si>
    <t>346 - Dotace ze státního rozpočtu</t>
  </si>
  <si>
    <t>347 - Ostatní dotace</t>
  </si>
  <si>
    <t>35 - Pohledávky za společníky, za účastníky sdružení a za čle - ny družstva</t>
  </si>
  <si>
    <t>351 - Pohledávky za ovládanými a řízenými osobami</t>
  </si>
  <si>
    <t>C.II.2., C.III.2.</t>
  </si>
  <si>
    <t>352 - Pohledávky za účetními jednotkami pod podstatným vlivem</t>
  </si>
  <si>
    <t>C.II.3., C.III.3.</t>
  </si>
  <si>
    <t>353 - Pohledávky za upsaný základní kapitál</t>
  </si>
  <si>
    <t>A.</t>
  </si>
  <si>
    <t>354 - Pohledávky za společníky při úhradě ztráty</t>
  </si>
  <si>
    <t>C.II.4., C.III.4.</t>
  </si>
  <si>
    <t>355 - Ostatní pohledávky za společníky a členy družstva</t>
  </si>
  <si>
    <t>358 - Pohledávky k účastníkům sdružení</t>
  </si>
  <si>
    <t>36 - Závazky ke společníkům, k účastníkům sdružení a ke členům družstva</t>
  </si>
  <si>
    <t>361 - Závazky k ovládaným a řízeným osobám</t>
  </si>
  <si>
    <t>362 - Závazky k osobám pod podstatným vlivem</t>
  </si>
  <si>
    <t>364 - Závazky ke společníkům při rozdělování zisku</t>
  </si>
  <si>
    <t>B.II.4., B.III.4.</t>
  </si>
  <si>
    <t>365 - Ostatní závazky ke společníkům a členům družstva</t>
  </si>
  <si>
    <t>366 - Závazky ke společníkům a členům družstva ze závislé činnosti</t>
  </si>
  <si>
    <t>367 - Závazky z upsaných nesplacených cenných papírů a vkladů</t>
  </si>
  <si>
    <t>368 - Závazky k účastníkům sdružení</t>
  </si>
  <si>
    <t>37 - Jiné pohledávky a závazky</t>
  </si>
  <si>
    <t>371 - Pohledávky z prodeje podniku</t>
  </si>
  <si>
    <t>372 - Závazky z koupě podniku</t>
  </si>
  <si>
    <t>B.II.9., B.III.11.</t>
  </si>
  <si>
    <t>373 - Pohledávky a závazky z pevných termínových operací</t>
  </si>
  <si>
    <t>374 - Pohledávky z pronájmu</t>
  </si>
  <si>
    <t>375 - Pohledávky z emitovaných dluhopisů</t>
  </si>
  <si>
    <t>376 - Nakoupené opce</t>
  </si>
  <si>
    <t>377 - Prodané opce</t>
  </si>
  <si>
    <t>378 - Jiné pohledávky</t>
  </si>
  <si>
    <t>379 - Jiné závazky</t>
  </si>
  <si>
    <t>38 - Přechodné účty aktiv a pasiv</t>
  </si>
  <si>
    <t>381 - Náklady příštích období</t>
  </si>
  <si>
    <t>D.I.1.</t>
  </si>
  <si>
    <t>382 - Komplexní náklady příštích období</t>
  </si>
  <si>
    <t>D.I.2.</t>
  </si>
  <si>
    <t>383 - Výdaje příštích období</t>
  </si>
  <si>
    <t>384 - Výnosy příštích období</t>
  </si>
  <si>
    <t>385 - Příjmy příštích období</t>
  </si>
  <si>
    <t>D.I.3.</t>
  </si>
  <si>
    <t>386 - Kursové rozdíly aktivní*</t>
  </si>
  <si>
    <t>bez zůstatku</t>
  </si>
  <si>
    <t>387 - Kursové rozdíly pasivní*</t>
  </si>
  <si>
    <t>388 - Dohadné účty aktivní</t>
  </si>
  <si>
    <t>C.II.5., C.III.8.</t>
  </si>
  <si>
    <t>389 - Dohadné účty pasivní</t>
  </si>
  <si>
    <t>B.II.8., B.III.10.</t>
  </si>
  <si>
    <t>39 - Opravná položka k zúčtovacím vztahům a vnitřní zúč - tování</t>
  </si>
  <si>
    <t>391 - Opravná položka k pohledávkám</t>
  </si>
  <si>
    <t>K/C.II. 1. až 4. a 6., K/C.III. 1. až 7. a 9.</t>
  </si>
  <si>
    <t>395 - Vnitřní zúčtování</t>
  </si>
  <si>
    <t>398 - Spojovací účet při sdružení</t>
  </si>
  <si>
    <t>C.III.4.</t>
  </si>
  <si>
    <t>ÚČTOVÁ TŘÍDA 4 - KAPITÁLOVÉ ÚČTY A DLOUHODOBÉ ZÁVAZKY</t>
  </si>
  <si>
    <t>41 - Základní kapitál a kapitálové fondy</t>
  </si>
  <si>
    <t>411 - Základní kapitál</t>
  </si>
  <si>
    <t>A.I.1.</t>
  </si>
  <si>
    <t>412 - Emisní ážio</t>
  </si>
  <si>
    <t>A.II.1.</t>
  </si>
  <si>
    <t>413 - Ostatní kapitálové fondy</t>
  </si>
  <si>
    <t>A.II.2.</t>
  </si>
  <si>
    <t>414 - Oceňovací rozdíly z přecenění majetku a závazků</t>
  </si>
  <si>
    <t>A.II.3.</t>
  </si>
  <si>
    <t>418 - Oceňovací rozdíly z přecenění při přeměnách</t>
  </si>
  <si>
    <t>A.II.4.</t>
  </si>
  <si>
    <t>419 - Změny základního kapitálu</t>
  </si>
  <si>
    <t>A.I.3.</t>
  </si>
  <si>
    <t>42 - Fondy ze zisku a převedené výsledky hospodaření</t>
  </si>
  <si>
    <t>421 - Zákonný rezervní fond</t>
  </si>
  <si>
    <t>A.III.1.</t>
  </si>
  <si>
    <t>422 - Nedělitelný fond</t>
  </si>
  <si>
    <t>423 - Statutární fondy</t>
  </si>
  <si>
    <t>A.III.2.</t>
  </si>
  <si>
    <t>427 - Ostatní fondy</t>
  </si>
  <si>
    <t>428 - Nerozdělený zisk minulých let</t>
  </si>
  <si>
    <t>A.IV.1.</t>
  </si>
  <si>
    <t>429 - Neuhrazená ztráta minulých let</t>
  </si>
  <si>
    <t>A.IV.2.</t>
  </si>
  <si>
    <t>43 - Výsledek hospodaření</t>
  </si>
  <si>
    <t>431 - Výsledek hospodaření ve schvalovacím řízení</t>
  </si>
  <si>
    <t>45 - Rezervy</t>
  </si>
  <si>
    <t>451 - Rezervy podle zvláštních právních předpisů</t>
  </si>
  <si>
    <t>453 - Rezerva na daň z příjmů</t>
  </si>
  <si>
    <t>459 - Ostatní rezervy</t>
  </si>
  <si>
    <t>B.I.2., B.I.4.</t>
  </si>
  <si>
    <t>46 - Dlouhodobé bankovní úvěry</t>
  </si>
  <si>
    <t>461 - Bankovní úvěry</t>
  </si>
  <si>
    <t>B.IV.1., B.IV.2.</t>
  </si>
  <si>
    <t>47 - Dlouhodobé závazky</t>
  </si>
  <si>
    <t>471 - Dlouhodobé závazky k ovládaným a řízeným osobám</t>
  </si>
  <si>
    <t>B.II.2., B.III.2.</t>
  </si>
  <si>
    <t>472 - Dlouhodobé závazky k účetním jednotkám pod pod - statným vlivem</t>
  </si>
  <si>
    <t>B.II.3., B.III.3.</t>
  </si>
  <si>
    <t>473 - Emitované dluhopisy</t>
  </si>
  <si>
    <t>474 - Závazky z pronájmu</t>
  </si>
  <si>
    <t>475 - Dlouhodobé přijaté zálohy</t>
  </si>
  <si>
    <t>B.II.5., B.III.8.</t>
  </si>
  <si>
    <t>478 - Dlouhodobé směnky k úhradě</t>
  </si>
  <si>
    <t>B.II.1., B.II.7., B.III.1.</t>
  </si>
  <si>
    <t>479 - Jiné dlouhodobé závazky</t>
  </si>
  <si>
    <t>B.II.1., B.II.9., B.III.1., B.III.5., B.III.6., B.III.11.</t>
  </si>
  <si>
    <t>48 - Odložený daňový závazek a pohledávka</t>
  </si>
  <si>
    <t>481 - Odložený daňový závazek a pohledávka</t>
  </si>
  <si>
    <t>C.II.7.</t>
  </si>
  <si>
    <t>B.II.10.</t>
  </si>
  <si>
    <t>49 - Individuální podnikatel</t>
  </si>
  <si>
    <t>491 - Účet individuálního podnikatele</t>
  </si>
  <si>
    <t>ÚČTOVÁ TŘÍDA 5 - NÁKLADY</t>
  </si>
  <si>
    <t>50 - Spotřebované nákupy</t>
  </si>
  <si>
    <t>501 - Spotřeba materiálu</t>
  </si>
  <si>
    <t>B.1.</t>
  </si>
  <si>
    <t>502 - Spotřeba energie</t>
  </si>
  <si>
    <t>503 - Spotřeba ostatních neskladovatelných dodávek</t>
  </si>
  <si>
    <t>504 - Prodané zboží</t>
  </si>
  <si>
    <t>51 - Služby</t>
  </si>
  <si>
    <t>511 - Opravy a udržování</t>
  </si>
  <si>
    <t>B.2.</t>
  </si>
  <si>
    <t>512 - Cestovné</t>
  </si>
  <si>
    <t>513 - Náklady na reprezentaci</t>
  </si>
  <si>
    <t>518 - Ostatní služby</t>
  </si>
  <si>
    <t>52 - Osobní náklady</t>
  </si>
  <si>
    <t>521 - Mzdové náklady</t>
  </si>
  <si>
    <t>C.1.</t>
  </si>
  <si>
    <t>522 - Příjmy společníků a členů družstva ze závislé činnosti</t>
  </si>
  <si>
    <t>523 - Odměny členům orgánů společnosti a družstva</t>
  </si>
  <si>
    <t>C.2.</t>
  </si>
  <si>
    <t>524 - Zákonné sociální pojištění</t>
  </si>
  <si>
    <t>C.3.</t>
  </si>
  <si>
    <t>525 - Ostatní sociální pojištění</t>
  </si>
  <si>
    <t>526 - Sociální náklady individuálního podnikatele</t>
  </si>
  <si>
    <t>527 - Zákonné sociální náklady</t>
  </si>
  <si>
    <t>C.4.</t>
  </si>
  <si>
    <t>528 - Ostatní sociální náklady</t>
  </si>
  <si>
    <t>53 - Daně a poplatky</t>
  </si>
  <si>
    <t>531 - Daň silniční</t>
  </si>
  <si>
    <t>D.</t>
  </si>
  <si>
    <t>532 - Daň z nemovitostí</t>
  </si>
  <si>
    <t>538 - Ostatní daně a poplatky</t>
  </si>
  <si>
    <t>54 - Jiné provozní náklady</t>
  </si>
  <si>
    <t>541 - Zůstatková cena prodaného dlouhodobého nehmot - ného a hmotného majetku</t>
  </si>
  <si>
    <t>F.1.</t>
  </si>
  <si>
    <t>542 - Prodaný materiál</t>
  </si>
  <si>
    <t>F.2.</t>
  </si>
  <si>
    <t>543 - Dary</t>
  </si>
  <si>
    <t>H.</t>
  </si>
  <si>
    <t>544 - Smluvní pokuty a úroky z prodlení</t>
  </si>
  <si>
    <t>545 - Ostatní pokuty a penále</t>
  </si>
  <si>
    <t>546 - Odpis pohledávky</t>
  </si>
  <si>
    <t>548 - Ostatní provozní náklady</t>
  </si>
  <si>
    <t>549 - Manka a škody z provozní činnosti</t>
  </si>
  <si>
    <t>55 - Odpisy, rezervy, komplexní náklady příštích období a opravné položky provozních nákladů</t>
  </si>
  <si>
    <t>551 - Odpisy dlouhodobého nehmotného a hmotného majetku</t>
  </si>
  <si>
    <t>E.</t>
  </si>
  <si>
    <t>552 - Tvorba a zúčtování rezerv podle zvláštních právních předpisů</t>
  </si>
  <si>
    <t>G.</t>
  </si>
  <si>
    <t>554 - Tvorba a zúčtování ostatních rezerv</t>
  </si>
  <si>
    <t>555 - Tvorba a zúčtování komplexních nákladů příštích období</t>
  </si>
  <si>
    <t>557 - Zúčtování oprávky k oceňovacímu rozdílu k nabyté - mu majetku</t>
  </si>
  <si>
    <t>558 - Tvorba a zúčtování zákonných opravných položek v provozní činnosti</t>
  </si>
  <si>
    <t>559 - Tvorba a zúčtování opravných položek v provozní činnosti</t>
  </si>
  <si>
    <t>56 - Finanční náklady</t>
  </si>
  <si>
    <t>561 - Prodané cenné papíry a podíly</t>
  </si>
  <si>
    <t>J.</t>
  </si>
  <si>
    <t>562 - Úroky</t>
  </si>
  <si>
    <t>N.</t>
  </si>
  <si>
    <t>563 - Kursové ztráty</t>
  </si>
  <si>
    <t>O.</t>
  </si>
  <si>
    <t>564 - Náklady z přecenění cenných papírů</t>
  </si>
  <si>
    <t>L.</t>
  </si>
  <si>
    <t>566 - Náklady z finančního majetku</t>
  </si>
  <si>
    <t>K.</t>
  </si>
  <si>
    <t>567 - Náklady z derivátových operací</t>
  </si>
  <si>
    <t>L. a O.</t>
  </si>
  <si>
    <t>568 - Ostatní finanční náklady</t>
  </si>
  <si>
    <t>569 - Manka a škody na finančním majetku</t>
  </si>
  <si>
    <t>57 - Rezervy a opravné položky finančních nákladů</t>
  </si>
  <si>
    <t>574 - Tvorba a zúčtování finančních rezerv</t>
  </si>
  <si>
    <t>M.</t>
  </si>
  <si>
    <t>579 - Tvorba a zúčtování opravných položek ve finanční činnosti</t>
  </si>
  <si>
    <t>58 - Mimořádné náklady</t>
  </si>
  <si>
    <t>581 - Náklady na změnu metody</t>
  </si>
  <si>
    <t>R.</t>
  </si>
  <si>
    <t>582 - Škody</t>
  </si>
  <si>
    <t>584 - Tvorba a zúčtování mimořádných rezerv</t>
  </si>
  <si>
    <t>588 - Ostatní mimořádné náklady</t>
  </si>
  <si>
    <t>589 - Tvorba a zúčtování opravných položek v mimořád - né činnosti</t>
  </si>
  <si>
    <t>59 - Daně z příjmů a převodové účty</t>
  </si>
  <si>
    <t>591 - Daň z příjmů z běžné činnosti - splatná</t>
  </si>
  <si>
    <t>Q.1.</t>
  </si>
  <si>
    <t>592 - Daň z příjmů z běžné činnosti - odložená</t>
  </si>
  <si>
    <t>Q.2.</t>
  </si>
  <si>
    <t>593 - Daň z příjmů z mimořádné činnosti - splatná</t>
  </si>
  <si>
    <t>S.1.</t>
  </si>
  <si>
    <t>594 - Daň z příjmů z mimořádné činnosti - odložená</t>
  </si>
  <si>
    <t>S.2.</t>
  </si>
  <si>
    <t>595 - Dodatečné odvody daně z příjmů</t>
  </si>
  <si>
    <t>596 - Převod podílu na výsledku hospodaření společníkům</t>
  </si>
  <si>
    <t>T.</t>
  </si>
  <si>
    <t>597 - Převod provozních nákladů</t>
  </si>
  <si>
    <t>I.</t>
  </si>
  <si>
    <t>598 - Převod finančních nákladů</t>
  </si>
  <si>
    <t>P.</t>
  </si>
  <si>
    <t>ÚČTOVÁ TŘÍDA 6 - VÝNOSY</t>
  </si>
  <si>
    <t>60 - Tržby za vlastní výkony a zboží</t>
  </si>
  <si>
    <t>601 - Tržby za vlastní výrobky</t>
  </si>
  <si>
    <t>II.1.</t>
  </si>
  <si>
    <t>602 - Tržby z prodeje služeb</t>
  </si>
  <si>
    <t>604 - Tržby za zboží</t>
  </si>
  <si>
    <t>61 - Změny stavu zásob vlastní činnosti</t>
  </si>
  <si>
    <t>611 - Změna stavu nedokončené výroby</t>
  </si>
  <si>
    <t>II.2.</t>
  </si>
  <si>
    <t>612 - Změna stavu polotovarů vlastní výroby</t>
  </si>
  <si>
    <t>613 - Změna stavu výrobků</t>
  </si>
  <si>
    <t>614 - Změna stavu zvířat</t>
  </si>
  <si>
    <t>62 - Aktivace</t>
  </si>
  <si>
    <t>621 - Aktivace materiálu a zboží</t>
  </si>
  <si>
    <t>II.3.</t>
  </si>
  <si>
    <t>622 - Aktivace vnitropodnikových služeb</t>
  </si>
  <si>
    <t>623 - Aktivace dlouhodobého nehmotného majetku</t>
  </si>
  <si>
    <t>624 - Aktivace dlouhodobého hmotného majetku</t>
  </si>
  <si>
    <t>64 - Jiné provozní výnosy</t>
  </si>
  <si>
    <t>641 - Tržby z prodeje dlouhodobého nehmotného a hmot - ného majetku</t>
  </si>
  <si>
    <t>III.1.</t>
  </si>
  <si>
    <t>642 - Tržby z prodeje materiálu</t>
  </si>
  <si>
    <t>III.2.</t>
  </si>
  <si>
    <t>644 - Smluvní pokuty a úroky z prodlení</t>
  </si>
  <si>
    <t>IV.</t>
  </si>
  <si>
    <t>646 - Výnosy z odepsaných pohledávek</t>
  </si>
  <si>
    <t>648 - Ostatní provozní výnosy</t>
  </si>
  <si>
    <t>66 - Finanční výnosy</t>
  </si>
  <si>
    <t>661 - Tržby z prodeje cenných papírů a podílů</t>
  </si>
  <si>
    <t>VI.</t>
  </si>
  <si>
    <t>662 - Úroky</t>
  </si>
  <si>
    <t>X.</t>
  </si>
  <si>
    <t>663 - Kursové zisky</t>
  </si>
  <si>
    <t>XI.</t>
  </si>
  <si>
    <t>664 - Výnosy z přecenění cenných papírů</t>
  </si>
  <si>
    <t>IX.</t>
  </si>
  <si>
    <t>665 - Výnosy z dlouhodobého finančního majetku</t>
  </si>
  <si>
    <t>VII.1., 2., 3.</t>
  </si>
  <si>
    <t>666 - Výnosy z krátkodobého finančního majetku</t>
  </si>
  <si>
    <t>VIII.</t>
  </si>
  <si>
    <t>667 - Výnosy z derivátových operací</t>
  </si>
  <si>
    <t>IX. a XI.</t>
  </si>
  <si>
    <t>668 - Ostatní finanční výnosy</t>
  </si>
  <si>
    <t>68 - Mimořádné výnosy</t>
  </si>
  <si>
    <t>681 - Výnosy ze změny metody</t>
  </si>
  <si>
    <t>XIII.</t>
  </si>
  <si>
    <t>688 - Ostatní mimořádné výnosy</t>
  </si>
  <si>
    <t>69 - Převodové účty</t>
  </si>
  <si>
    <t>697 - Převod provozních výnosů</t>
  </si>
  <si>
    <t>V.</t>
  </si>
  <si>
    <t>698 - Převod finančních výnosů</t>
  </si>
  <si>
    <t>XII.</t>
  </si>
  <si>
    <t>ÚČTOVÁ TŘÍDA 7 - ZÁVĚRKOVÉ A PODROZVAHOVÉ ÚČTY</t>
  </si>
  <si>
    <t>70 - Účty rozvažné</t>
  </si>
  <si>
    <t>701 - Počáteční účet rozvažný</t>
  </si>
  <si>
    <t>702 - Konečný účet rozvažný</t>
  </si>
  <si>
    <t>71 - Účet zisků a ztrát</t>
  </si>
  <si>
    <t>710 - Účet zisků a ztrát</t>
  </si>
  <si>
    <t>75 až 79 - Podrozvahové účty</t>
  </si>
  <si>
    <t>75x - Majetek v úschově</t>
  </si>
  <si>
    <t>76x - Podrozvahová aktiva</t>
  </si>
  <si>
    <t>77x - Podrozvahová pasiva</t>
  </si>
  <si>
    <t>78x - Technické účty</t>
  </si>
  <si>
    <t>ÚČTOVÉ TŘÍDY 8 A 9 - VNITROPODNIKOVÉ ÚČETNICTVÍ</t>
  </si>
  <si>
    <t>Položka</t>
  </si>
  <si>
    <t>Obsah položky</t>
  </si>
  <si>
    <t>Účet ~ brutto</t>
  </si>
  <si>
    <t>Účet ~ korekce</t>
  </si>
  <si>
    <t>AKTIVA CELKEM:</t>
  </si>
  <si>
    <t>A. + B. + C. + D.</t>
  </si>
  <si>
    <t>Pohledávky za upsaný základní kapitál</t>
  </si>
  <si>
    <t>B.</t>
  </si>
  <si>
    <t>Dlouhodobý majetek</t>
  </si>
  <si>
    <t>B.I. + B.II. + B.III.</t>
  </si>
  <si>
    <t>B.I.</t>
  </si>
  <si>
    <t>Dlouhodobý nehmotný majetek</t>
  </si>
  <si>
    <t>011, 012, 013, 014, (+/-)015, 019, 041, 051</t>
  </si>
  <si>
    <t>(-)071, (-)072, (-)073, (-)074, (+/-)075, (-)079, (-)091AÚ, (-)093, (-)095AÚ,</t>
  </si>
  <si>
    <t>B.II.</t>
  </si>
  <si>
    <t>Dlouhodobý hmotný majetek</t>
  </si>
  <si>
    <t>021, 022, 025, 026, 029, 031, 032, 042, 052, (+/-)097</t>
  </si>
  <si>
    <t>(-)081, (-)082, (-)085, (-)086, (-)089, (-)092AÚ, (-)094, (-)095AÚ, (+/-)098</t>
  </si>
  <si>
    <t>B.III.</t>
  </si>
  <si>
    <t>Dlouhodobý finanční majetek</t>
  </si>
  <si>
    <t>043, 053, 061, 062, 063, 065, 066, 067, 069</t>
  </si>
  <si>
    <t>(-)095AÚ, (-)096</t>
  </si>
  <si>
    <t>C.</t>
  </si>
  <si>
    <t>Oběžná aktiva</t>
  </si>
  <si>
    <t>C.I. + C.II. + C.III. + C.IV.</t>
  </si>
  <si>
    <t>C.I.</t>
  </si>
  <si>
    <t>Zásoby</t>
  </si>
  <si>
    <t>111, 112, 118, 119, 121, 122, 123, 124, 128, 131, 132, 138, 139,</t>
  </si>
  <si>
    <t>(-)191, (-)192, (-)193, (-)194, (-)195, (-)196, (-)197, (-)198, (-)199</t>
  </si>
  <si>
    <t>C.II.</t>
  </si>
  <si>
    <t>Dlouhodobé pohledávky</t>
  </si>
  <si>
    <t>311AÚ, 312AÚ, 313AÚ, 314AÚ, 315AÚ, 335AÚ, 351AÚ, 352AÚ, 354AÚ, 355AÚ, 358AÚ, 371AÚ, 373AÚ, 374AÚ, 375AÚ, 376AÚ, 378AÚ, 388AÚ, (-)481</t>
  </si>
  <si>
    <t>(-)391AÚ</t>
  </si>
  <si>
    <t>C.III.</t>
  </si>
  <si>
    <t>Krátkodobé pohledávky</t>
  </si>
  <si>
    <t>311AÚ, 312AÚ, 313AÚ, 314AÚ, 315AÚ, 335AÚ, 336, 341, 342, 343, 345, 351AÚ, 352AÚ, 354AÚ, 355AÚ, 358AÚ, 371AÚ, 373AÚ, 374AÚ, 375AÚ, 376AÚ, 378AÚ, 388AÚ, 398</t>
  </si>
  <si>
    <t>C.IV.</t>
  </si>
  <si>
    <t>Krátkodobý finanční majetek</t>
  </si>
  <si>
    <t>211, 213, 221, 251, 253, 256, 257, 259, 261</t>
  </si>
  <si>
    <t>(-)291AÚ</t>
  </si>
  <si>
    <t>D.I.</t>
  </si>
  <si>
    <t>Časové rozlišení</t>
  </si>
  <si>
    <t>381, 382, 385</t>
  </si>
  <si>
    <t>PASIVA CELKEM:</t>
  </si>
  <si>
    <t>A + B + C</t>
  </si>
  <si>
    <t>Vlastní kapitál</t>
  </si>
  <si>
    <t>A.I. + A.II. + A.III. + A.IV. + A.V.</t>
  </si>
  <si>
    <t>A.I.</t>
  </si>
  <si>
    <t>Základní kapitál</t>
  </si>
  <si>
    <t>411 nebo 491, (-)252, (+/-)419</t>
  </si>
  <si>
    <t>A.II.</t>
  </si>
  <si>
    <t>Kapitálové fondy</t>
  </si>
  <si>
    <t>412, 413, (+/-)414, (+/-)418</t>
  </si>
  <si>
    <t>A.III.</t>
  </si>
  <si>
    <t>Rezervní fondy, nedělitelný fond a ostatní fondy ze zisku</t>
  </si>
  <si>
    <t>421, 422, 423, 427</t>
  </si>
  <si>
    <t>A.IV.</t>
  </si>
  <si>
    <t>Výsledek hospodaření minulých let</t>
  </si>
  <si>
    <t>428, (-)429</t>
  </si>
  <si>
    <t>A.V.</t>
  </si>
  <si>
    <t>Výsledek hospodaření běžného účetního období +/-</t>
  </si>
  <si>
    <t>Výkaz zisku a ztráty</t>
  </si>
  <si>
    <t>Cizí zdroje</t>
  </si>
  <si>
    <t>B.I. + B.II. + B.III. + B.IV.</t>
  </si>
  <si>
    <t>Rezervy</t>
  </si>
  <si>
    <t>451, 453, 459AÚ</t>
  </si>
  <si>
    <t>Dlouhodobé závazky</t>
  </si>
  <si>
    <t>(-)255AÚ, 321AÚ, 364AÚ, 365AÚ, 366AÚ, 367AÚ, 368AÚ, 372AÚ, 373AÚ, 377AÚ, 379AÚ, 389AÚ, 471AÚ, 472AÚ, 473AÚ, 474AÚ, 475AÚ, 478AÚ, 479AÚ, 481</t>
  </si>
  <si>
    <t>Krátkodobé závazky</t>
  </si>
  <si>
    <t>241, (-)255AÚ, 321AÚ, 322, 324, 325, 331, 333, 336, 341, 342, 343, 345, 346, 347, 361, 362, 364AÚ, 365AÚ, 366, 367AÚ, 368AÚ, 372AÚ, 373AÚ, 377AÚ, 379AÚ, 389AÚ, 398AÚ, 471AÚ, 472AÚ, 473AÚ, 474AÚ, 475AÚ, 478AÚ, 479AÚ</t>
  </si>
  <si>
    <t>B.IV.</t>
  </si>
  <si>
    <t>Bankovní úvěry a výpomoci</t>
  </si>
  <si>
    <t>221AÚ, 231, 232AÚ, 249, 461AÚ</t>
  </si>
  <si>
    <t>383, 384</t>
  </si>
  <si>
    <t>AKTIVA CELKEM</t>
  </si>
  <si>
    <t>B.I + B.II. + B.III</t>
  </si>
  <si>
    <r>
      <t>S</t>
    </r>
    <r>
      <rPr>
        <sz val="11"/>
        <color theme="1"/>
        <rFont val="Calibri"/>
        <family val="2"/>
        <charset val="238"/>
        <scheme val="minor"/>
      </rPr>
      <t xml:space="preserve"> B.I.1. až B.I.8.</t>
    </r>
  </si>
  <si>
    <t>Zřizovací výdaje</t>
  </si>
  <si>
    <t>011, (-)071, (-)091AÚ</t>
  </si>
  <si>
    <t>2.</t>
  </si>
  <si>
    <t>Nehmotné výsledky výzkumu a vývoje</t>
  </si>
  <si>
    <t>012, (-)072, (-)091AÚ</t>
  </si>
  <si>
    <t>3.</t>
  </si>
  <si>
    <t>Software</t>
  </si>
  <si>
    <t>013, (-)073, (-)091AÚ</t>
  </si>
  <si>
    <t>4.</t>
  </si>
  <si>
    <t>Ocenitelná práva</t>
  </si>
  <si>
    <t>014, (-)074, (-)091AÚ</t>
  </si>
  <si>
    <t>5.</t>
  </si>
  <si>
    <t>Goodwill</t>
  </si>
  <si>
    <t>(+/-)015, (+/-)075, (-)091AÚ</t>
  </si>
  <si>
    <t>6.</t>
  </si>
  <si>
    <t>Jiný dlouhodobý nehmotný majetek</t>
  </si>
  <si>
    <t>019, (-)079, (-)091AÚ</t>
  </si>
  <si>
    <t>7.</t>
  </si>
  <si>
    <t>Nedokončený dlouhodobý nehmotný majetek</t>
  </si>
  <si>
    <t>041, (-)093</t>
  </si>
  <si>
    <t>8.</t>
  </si>
  <si>
    <t>Poskytnuté zálohy na dlouhodobý nehmotný majetek</t>
  </si>
  <si>
    <t>051, (-)095AÚ</t>
  </si>
  <si>
    <r>
      <t>S</t>
    </r>
    <r>
      <rPr>
        <sz val="11"/>
        <color theme="1"/>
        <rFont val="Calibri"/>
        <family val="2"/>
        <charset val="238"/>
        <scheme val="minor"/>
      </rPr>
      <t xml:space="preserve"> B.II.1 až B.II.9.</t>
    </r>
  </si>
  <si>
    <t>Pozemky</t>
  </si>
  <si>
    <t>031, (-)092AÚ</t>
  </si>
  <si>
    <t>Stavby</t>
  </si>
  <si>
    <t>021, (-)081, (-)092AÚ</t>
  </si>
  <si>
    <t>Samostatné movité věci a soubory movitých věcí</t>
  </si>
  <si>
    <t>022, (-)082, (-)092AÚ</t>
  </si>
  <si>
    <t>Pěstitelské celky trvalých porostů</t>
  </si>
  <si>
    <t>025, (-)085, (-)092AÚ</t>
  </si>
  <si>
    <t>Základní stádo a tažná zvířata</t>
  </si>
  <si>
    <t>026, (-)086, (-)092AÚ</t>
  </si>
  <si>
    <t>Jiný dlouhodobý hmotný majetek</t>
  </si>
  <si>
    <t>029, 032, (-)089, (-)092AÚ</t>
  </si>
  <si>
    <t>Nedokončený dlouhodobý hmotný majetek</t>
  </si>
  <si>
    <t>042, (-)094</t>
  </si>
  <si>
    <t>Poskytnuté zálohy na dlouhodobý hmotný majetek</t>
  </si>
  <si>
    <t>052, (-)095AÚ</t>
  </si>
  <si>
    <t>9.</t>
  </si>
  <si>
    <t>Oceňovací rozdíl k nabytému majetku</t>
  </si>
  <si>
    <t>(+/-)097, (+/-)098</t>
  </si>
  <si>
    <r>
      <t>S</t>
    </r>
    <r>
      <rPr>
        <sz val="11"/>
        <color theme="1"/>
        <rFont val="Calibri"/>
        <family val="2"/>
        <charset val="238"/>
        <scheme val="minor"/>
      </rPr>
      <t xml:space="preserve"> B.III.1. až B.III.7.</t>
    </r>
  </si>
  <si>
    <t>Podíly v ovládaných a řízených osobách</t>
  </si>
  <si>
    <t>061, (-)096AÚ</t>
  </si>
  <si>
    <t>Podíly v účetních jednotkách pod podstatným vlivem</t>
  </si>
  <si>
    <t>062, (-)096AÚ</t>
  </si>
  <si>
    <t>Ostatní dlouhodobé cenné papíry a podíly</t>
  </si>
  <si>
    <t>063, 065, (-)096AÚ</t>
  </si>
  <si>
    <t>Půjčky a úvěry ovládaným a řízeným osobám a účetním jednotkám pod podstatným vlivem</t>
  </si>
  <si>
    <t>066, (-)096AÚ</t>
  </si>
  <si>
    <t>Jiný dlouhodobý finanční majetek</t>
  </si>
  <si>
    <t>067, 069, (-)096AÚ</t>
  </si>
  <si>
    <t>Pořizovaný dlouhodobý finanční majetek</t>
  </si>
  <si>
    <t>043, (-)096AÚ</t>
  </si>
  <si>
    <t>Poskytnuté zálohy na dlouhodobý finanční majetek</t>
  </si>
  <si>
    <t>053, (-)095AÚ</t>
  </si>
  <si>
    <r>
      <t>S</t>
    </r>
    <r>
      <rPr>
        <sz val="11"/>
        <color theme="1"/>
        <rFont val="Calibri"/>
        <family val="2"/>
        <charset val="238"/>
        <scheme val="minor"/>
      </rPr>
      <t xml:space="preserve"> C.I.1. až C.I.6.</t>
    </r>
  </si>
  <si>
    <t>Materiál</t>
  </si>
  <si>
    <t>111, 112, 119, (-)191</t>
  </si>
  <si>
    <t>Nedokončená výroba a polotovary</t>
  </si>
  <si>
    <t>121, 122, (-)192, (-)193</t>
  </si>
  <si>
    <t>Výrobky</t>
  </si>
  <si>
    <t>123, (-)194</t>
  </si>
  <si>
    <t>Zvířata</t>
  </si>
  <si>
    <t>124, (-)195</t>
  </si>
  <si>
    <t>Zboží</t>
  </si>
  <si>
    <t>131, 132, 139, (-)196</t>
  </si>
  <si>
    <t>Poskytnuté zálohy na zásoby</t>
  </si>
  <si>
    <t>118, 128, 138, (-)197, (-)198, (-)199</t>
  </si>
  <si>
    <r>
      <t xml:space="preserve">S </t>
    </r>
    <r>
      <rPr>
        <sz val="11"/>
        <color theme="1"/>
        <rFont val="Calibri"/>
        <family val="2"/>
        <charset val="238"/>
        <scheme val="minor"/>
      </rPr>
      <t>C.II.1. až C.II.7.</t>
    </r>
  </si>
  <si>
    <t>C.II.1.</t>
  </si>
  <si>
    <t>Pohledávky z obchodních vztahů</t>
  </si>
  <si>
    <t>311AÚ, 312AÚ, 313AÚ, 314AÚ, 315AÚ, (-)391AÚ</t>
  </si>
  <si>
    <t>Pohledávky za ovládanými a řízenými osobami</t>
  </si>
  <si>
    <t>351AÚ, (-)391AÚ</t>
  </si>
  <si>
    <t>Pohledávky za účetními jednotkami pod podstatným vlivem</t>
  </si>
  <si>
    <t>352AÚ, (-)391AÚ</t>
  </si>
  <si>
    <t>Pohledávky za společníky, členy družstva a za účastníky sdružení</t>
  </si>
  <si>
    <t>354AÚ, 355AÚ, 358AÚ, (-)391AÚ</t>
  </si>
  <si>
    <t>Dohadné účty aktivní</t>
  </si>
  <si>
    <t>388AÚ</t>
  </si>
  <si>
    <t>Jiné pohledávky</t>
  </si>
  <si>
    <t>335AÚ, 371AÚ, 373AÚ, 374AÚ, 375AÚ, 376AÚ, 378AÚ, (-)391AÚ</t>
  </si>
  <si>
    <t>Odložená daňová pohledávka</t>
  </si>
  <si>
    <t>481AÚ</t>
  </si>
  <si>
    <r>
      <t>S</t>
    </r>
    <r>
      <rPr>
        <sz val="11"/>
        <color theme="1"/>
        <rFont val="Calibri"/>
        <family val="2"/>
        <charset val="238"/>
        <scheme val="minor"/>
      </rPr>
      <t xml:space="preserve"> C.III.1. až C.III.9.</t>
    </r>
  </si>
  <si>
    <t>C.III.1.</t>
  </si>
  <si>
    <t>311AÚ, 312AÚ, 313AÚ, 315AÚ, (-)391AÚ</t>
  </si>
  <si>
    <t>354AÚ, 355AÚ, 358AÚ, 398AÚ, (-)391AÚ</t>
  </si>
  <si>
    <t>Sociální zabezpečení a zdravotní pojištění</t>
  </si>
  <si>
    <t>336, (-)391AÚ</t>
  </si>
  <si>
    <t>Stát – daňové pohledávky</t>
  </si>
  <si>
    <t>341, 342, 343, 345, (-)391AÚ</t>
  </si>
  <si>
    <t>Ostatní poskytnuté zálohy</t>
  </si>
  <si>
    <t>314AÚ, (-)391</t>
  </si>
  <si>
    <r>
      <t>S</t>
    </r>
    <r>
      <rPr>
        <sz val="11"/>
        <color theme="1"/>
        <rFont val="Calibri"/>
        <family val="2"/>
        <charset val="238"/>
        <scheme val="minor"/>
      </rPr>
      <t xml:space="preserve"> C.IV.1. až C.IV.4.</t>
    </r>
  </si>
  <si>
    <t>Peníze</t>
  </si>
  <si>
    <t>211, 213, 261</t>
  </si>
  <si>
    <t>Účty v bankách</t>
  </si>
  <si>
    <t>221, 261</t>
  </si>
  <si>
    <t>Krátkodobé cenné papíry a podíly</t>
  </si>
  <si>
    <t>251, 253, 256, 257, (-)291AÚ</t>
  </si>
  <si>
    <t>Pořizovaný krátkodobý finanční majetek</t>
  </si>
  <si>
    <t>259, (-)291AÚ</t>
  </si>
  <si>
    <r>
      <t>S</t>
    </r>
    <r>
      <rPr>
        <sz val="11"/>
        <color theme="1"/>
        <rFont val="Calibri"/>
        <family val="2"/>
        <charset val="238"/>
        <scheme val="minor"/>
      </rPr>
      <t xml:space="preserve"> D.I.1. až D.I.3.</t>
    </r>
  </si>
  <si>
    <t>Náklady příštích období</t>
  </si>
  <si>
    <t>Komplexní náklady příštích období</t>
  </si>
  <si>
    <t>Příjmy příštích období</t>
  </si>
  <si>
    <t>PASIVA CELKEM</t>
  </si>
  <si>
    <r>
      <t>S</t>
    </r>
    <r>
      <rPr>
        <sz val="11"/>
        <color theme="1"/>
        <rFont val="Calibri"/>
        <family val="2"/>
        <charset val="238"/>
        <scheme val="minor"/>
      </rPr>
      <t xml:space="preserve"> A.I.1. až A.I.3.</t>
    </r>
  </si>
  <si>
    <t>411 nebo 491</t>
  </si>
  <si>
    <t>Vlastní akcie a vlastí obchodní podíly (-)</t>
  </si>
  <si>
    <t>(-)252</t>
  </si>
  <si>
    <t>Změny základního kapitálu</t>
  </si>
  <si>
    <t>(+/-)419</t>
  </si>
  <si>
    <r>
      <t>S</t>
    </r>
    <r>
      <rPr>
        <sz val="11"/>
        <color theme="1"/>
        <rFont val="Calibri"/>
        <family val="2"/>
        <charset val="238"/>
        <scheme val="minor"/>
      </rPr>
      <t xml:space="preserve"> A.II.1. až A.II.4.</t>
    </r>
  </si>
  <si>
    <t>Emisní ážio</t>
  </si>
  <si>
    <t>Ostatní kapitálové fondy</t>
  </si>
  <si>
    <t>Oceňovací rozdíly z přecenění majetku a závazků</t>
  </si>
  <si>
    <t>(+/-)414</t>
  </si>
  <si>
    <t>Oceňovací rozdíly z přecenění při přeměnách</t>
  </si>
  <si>
    <t>(+/-)418</t>
  </si>
  <si>
    <t>A.III.1 + A.III.2.</t>
  </si>
  <si>
    <t>Zákonný rezervní fond/Nedělitelný fond</t>
  </si>
  <si>
    <t>421, 422</t>
  </si>
  <si>
    <t>Statutární a ostatní fondy</t>
  </si>
  <si>
    <t>423, 427</t>
  </si>
  <si>
    <t>A.IV.1. + A.IV.2.</t>
  </si>
  <si>
    <t>Nerozdělený zisk minulých let</t>
  </si>
  <si>
    <t>Neuhrazená ztráta minulých let</t>
  </si>
  <si>
    <t>(-)429</t>
  </si>
  <si>
    <t>Výsledek hospodaření běžného účetního období (+/-)</t>
  </si>
  <si>
    <t>výkaz zisku a ztráty</t>
  </si>
  <si>
    <r>
      <t>S</t>
    </r>
    <r>
      <rPr>
        <sz val="11"/>
        <color theme="1"/>
        <rFont val="Calibri"/>
        <family val="2"/>
        <charset val="238"/>
        <scheme val="minor"/>
      </rPr>
      <t xml:space="preserve"> B.I.1. až B.I.4.</t>
    </r>
  </si>
  <si>
    <t>Rezervy podle zvláštních právních předpisů</t>
  </si>
  <si>
    <t>Rezerva na důchody a podobné závazky</t>
  </si>
  <si>
    <t>459AÚ</t>
  </si>
  <si>
    <t>Rezerva na daň z příjmů</t>
  </si>
  <si>
    <t>Ostatní rezervy</t>
  </si>
  <si>
    <r>
      <t>S</t>
    </r>
    <r>
      <rPr>
        <sz val="11"/>
        <color theme="1"/>
        <rFont val="Calibri"/>
        <family val="2"/>
        <charset val="238"/>
        <scheme val="minor"/>
      </rPr>
      <t xml:space="preserve"> B.II.1. až B.II.10.</t>
    </r>
  </si>
  <si>
    <t>Závazky z obchodních vztahů</t>
  </si>
  <si>
    <t>321AÚ, 478AÚ, 479AÚ</t>
  </si>
  <si>
    <t>Závazky k ovládaným a řízeným osobám</t>
  </si>
  <si>
    <t>471AÚ</t>
  </si>
  <si>
    <t>Závazky k účetním jednotkám pod podstatným vlivem</t>
  </si>
  <si>
    <t>472AÚ</t>
  </si>
  <si>
    <t>Závazky ke společníkům, členům družstva a k účastníkům sdružení</t>
  </si>
  <si>
    <t>364 AÚ, 365AÚ, 366 AÚ, 367AÚ, 368AÚ,</t>
  </si>
  <si>
    <t>Dlouhodobé přijaté zálohy</t>
  </si>
  <si>
    <t>475AÚ</t>
  </si>
  <si>
    <t>Vydané dluhopisy</t>
  </si>
  <si>
    <t>473AÚ, (-)255</t>
  </si>
  <si>
    <t>Dlouhodobé směnky k úhradě</t>
  </si>
  <si>
    <t>478AÚ</t>
  </si>
  <si>
    <t>Dohadné účty pasivní</t>
  </si>
  <si>
    <t>389AÚ</t>
  </si>
  <si>
    <t>Jiné závazky</t>
  </si>
  <si>
    <t>372AÚ, 373AÚ, 377AÚ, 379AÚ, 474AÚ, 479AÚ,</t>
  </si>
  <si>
    <t>10.</t>
  </si>
  <si>
    <t>Odložený daňový závazek</t>
  </si>
  <si>
    <r>
      <t>S</t>
    </r>
    <r>
      <rPr>
        <sz val="11"/>
        <color theme="1"/>
        <rFont val="Calibri"/>
        <family val="2"/>
        <charset val="238"/>
        <scheme val="minor"/>
      </rPr>
      <t xml:space="preserve"> B.III.1. až B.III.11.</t>
    </r>
  </si>
  <si>
    <t>321AÚ, 322, 325, 478AÚ, 479AÚ</t>
  </si>
  <si>
    <t>361, 471AÚ</t>
  </si>
  <si>
    <t>362, 472AÚ</t>
  </si>
  <si>
    <t>364AÚ, 365AÚ, 366, 367AÚ, 368AÚ, 398AÚ</t>
  </si>
  <si>
    <t>Závazky k zaměstnancům</t>
  </si>
  <si>
    <t>331, 333, 479AÚ</t>
  </si>
  <si>
    <t>Závazky ze sociálního zabezpečení a zdravotního pojištění</t>
  </si>
  <si>
    <t>336, 479AÚ</t>
  </si>
  <si>
    <t>Stát – daňové závazky a dotace</t>
  </si>
  <si>
    <t>341, 342, 343, 345, 346, 347</t>
  </si>
  <si>
    <t>Krátkodobé přijaté zálohy</t>
  </si>
  <si>
    <t>324, 475AÚ</t>
  </si>
  <si>
    <t>241, 473AÚ, (-)255</t>
  </si>
  <si>
    <t>11.</t>
  </si>
  <si>
    <t>372AÚ, 373AÚ, 377AÚ, 379AÚ, 474AÚ, 479AÚ</t>
  </si>
  <si>
    <r>
      <t>S</t>
    </r>
    <r>
      <rPr>
        <sz val="11"/>
        <color theme="1"/>
        <rFont val="Calibri"/>
        <family val="2"/>
        <charset val="238"/>
        <scheme val="minor"/>
      </rPr>
      <t xml:space="preserve"> B.IV.1. až B.IV.3.</t>
    </r>
  </si>
  <si>
    <t>B.IV.1.</t>
  </si>
  <si>
    <t>Bankovní úvěry dlouhodobé</t>
  </si>
  <si>
    <t>461AÚ</t>
  </si>
  <si>
    <t>Krátkodobé bankovní úvěry</t>
  </si>
  <si>
    <t>221AÚ, 231, 232AÚ, 461AÚ</t>
  </si>
  <si>
    <t>Krátkodobé finanční výpomoci</t>
  </si>
  <si>
    <t>C.I.1. a C.I.I2</t>
  </si>
  <si>
    <t>Výdaje příštích období</t>
  </si>
  <si>
    <t>Výnosy příštích období</t>
  </si>
  <si>
    <t>Tržby za prodej zboží</t>
  </si>
  <si>
    <t>Náklady vynaložené na prodané zboží</t>
  </si>
  <si>
    <t>+ </t>
  </si>
  <si>
    <t>Obchodní marže</t>
  </si>
  <si>
    <t>I. - A</t>
  </si>
  <si>
    <t>II.</t>
  </si>
  <si>
    <t>Výkony</t>
  </si>
  <si>
    <r>
      <t>S</t>
    </r>
    <r>
      <rPr>
        <sz val="11"/>
        <color theme="1"/>
        <rFont val="Calibri"/>
        <family val="2"/>
        <charset val="238"/>
        <scheme val="minor"/>
      </rPr>
      <t xml:space="preserve"> II.1 až II.3.</t>
    </r>
  </si>
  <si>
    <t>Tržby za prodej vlastních výrobků a služeb</t>
  </si>
  <si>
    <t>601, 602</t>
  </si>
  <si>
    <t>Změna stavu zásob vlastní činnosti</t>
  </si>
  <si>
    <t>611, 612, 613, 614</t>
  </si>
  <si>
    <t>Aktivace</t>
  </si>
  <si>
    <t>621, 622, 623, 624</t>
  </si>
  <si>
    <t>Výkonová spotřeba</t>
  </si>
  <si>
    <t>B.1. + B.2.</t>
  </si>
  <si>
    <t>Spotřeba materiálu a energie</t>
  </si>
  <si>
    <t>501, 502, 503</t>
  </si>
  <si>
    <t>Služby</t>
  </si>
  <si>
    <t>511, 512, 513, 518</t>
  </si>
  <si>
    <t>Přidaná hodnota</t>
  </si>
  <si>
    <t>I. - A. + II. - B.</t>
  </si>
  <si>
    <t>Osobní náklady</t>
  </si>
  <si>
    <r>
      <t xml:space="preserve">S </t>
    </r>
    <r>
      <rPr>
        <sz val="11"/>
        <color theme="1"/>
        <rFont val="Calibri"/>
        <family val="2"/>
        <charset val="238"/>
        <scheme val="minor"/>
      </rPr>
      <t>C.1 až C.4.</t>
    </r>
  </si>
  <si>
    <t>Mzdové náklady</t>
  </si>
  <si>
    <t>521, 522</t>
  </si>
  <si>
    <t>Odměny členům orgánů společnosti a družstva</t>
  </si>
  <si>
    <t>Náklady na sociální zabezpečení a zdravotní pojištění</t>
  </si>
  <si>
    <t>524, 525, 526</t>
  </si>
  <si>
    <t>Sociální náklady</t>
  </si>
  <si>
    <t>527, 528</t>
  </si>
  <si>
    <t>Daně a poplatky</t>
  </si>
  <si>
    <t>531, 532, 538</t>
  </si>
  <si>
    <t>Odpisy dlouhodobého nehmotného a hmotného majetku</t>
  </si>
  <si>
    <t>III.</t>
  </si>
  <si>
    <t>Tržby z prodeje dlouhodobého majetku a materiálu</t>
  </si>
  <si>
    <t>III.1. + III.2.</t>
  </si>
  <si>
    <t>Tržby z prodeje dlouhodobého majetku</t>
  </si>
  <si>
    <t>Tržby z prodeje materiálu</t>
  </si>
  <si>
    <t>F.</t>
  </si>
  <si>
    <t>Zůstatková cena prodaného dlouhodobého majetku a materiálu</t>
  </si>
  <si>
    <t>F.1. + F.2.</t>
  </si>
  <si>
    <t>Zůstatková cena prodaného dlouhodobého majetku</t>
  </si>
  <si>
    <t>Prodaný materiál</t>
  </si>
  <si>
    <t>Změna stavu rezerv a opravných položek v provozní oblasti a komplexních nákladů příštích období</t>
  </si>
  <si>
    <t>(+/-)552, (+/-)554, (+/-)555, (+/-)558, (+/-)559</t>
  </si>
  <si>
    <t>Ostatní provozní výnosy</t>
  </si>
  <si>
    <t>644, 646, 648</t>
  </si>
  <si>
    <t>Ostatní provozní náklady</t>
  </si>
  <si>
    <t>543, 544, 545, 546, 548, 549, 557</t>
  </si>
  <si>
    <t>Převod provozních výnosů</t>
  </si>
  <si>
    <t>(-)697</t>
  </si>
  <si>
    <t>Převod provozních nákladů</t>
  </si>
  <si>
    <t>(-)597</t>
  </si>
  <si>
    <t>* </t>
  </si>
  <si>
    <t>Provozní výsledek hospodaření</t>
  </si>
  <si>
    <t>zohlednění položek výnosů (I. až V.) a nákladů (A. až I.)</t>
  </si>
  <si>
    <t>Tržby z prodeje cenných papírů a podílů</t>
  </si>
  <si>
    <t>Prodané cenné papíry a podíly</t>
  </si>
  <si>
    <t>VII.</t>
  </si>
  <si>
    <t>Výnosy z dlouhodobého finančního majetku</t>
  </si>
  <si>
    <r>
      <t>S</t>
    </r>
    <r>
      <rPr>
        <sz val="11"/>
        <color theme="1"/>
        <rFont val="Calibri"/>
        <family val="2"/>
        <charset val="238"/>
        <scheme val="minor"/>
      </rPr>
      <t xml:space="preserve"> V.II.1. až V.II.3.</t>
    </r>
  </si>
  <si>
    <t>VII.1.</t>
  </si>
  <si>
    <t>Výnosy z podílů v ovládaných a řízených osobách a v účetních jednotkách pod podstatným vlivem</t>
  </si>
  <si>
    <t>665AÚ</t>
  </si>
  <si>
    <t>Výnosy z ostatních dlouhodobých cenných papírů a podílů</t>
  </si>
  <si>
    <t>Výnosy z ostatního dlouhodobého finančního majetku</t>
  </si>
  <si>
    <t>Výnosy z krátkodobého finančního majetku</t>
  </si>
  <si>
    <t>Náklady z finančního majetku</t>
  </si>
  <si>
    <t>Výnosy z přecenění cenných papírů a derivátů</t>
  </si>
  <si>
    <t>664, 667AÚ</t>
  </si>
  <si>
    <t>Náklady z přecenění cenných papírů a derivátů</t>
  </si>
  <si>
    <t>564, 567AÚ</t>
  </si>
  <si>
    <t>Změna stavu rezerv a opravných položek ve finanční oblasti</t>
  </si>
  <si>
    <t>(+/-)574, (+/-)579</t>
  </si>
  <si>
    <t>Výnosové úroky</t>
  </si>
  <si>
    <t>Nákladové úroky</t>
  </si>
  <si>
    <t>Ostatní finanční výnosy</t>
  </si>
  <si>
    <t>663, 667AÚ, 668</t>
  </si>
  <si>
    <t>Ostatní finanční náklady</t>
  </si>
  <si>
    <t>563, 567AÚ, 568, 569</t>
  </si>
  <si>
    <t>Převod finančních výnosů</t>
  </si>
  <si>
    <t>(-)698</t>
  </si>
  <si>
    <t>Převod finančních nákladů</t>
  </si>
  <si>
    <t>(-)598</t>
  </si>
  <si>
    <t>Finanční výsledek hospodaření</t>
  </si>
  <si>
    <t>zohlednění položek výnosů VI. až XII. a nákladů J. až P.</t>
  </si>
  <si>
    <t>Q.</t>
  </si>
  <si>
    <t>Daň z příjmů za běžnou činnost</t>
  </si>
  <si>
    <t>Q.1. + Q.2.</t>
  </si>
  <si>
    <t>– splatná</t>
  </si>
  <si>
    <t>591, 595</t>
  </si>
  <si>
    <t>– odložená</t>
  </si>
  <si>
    <t>(+/-)592</t>
  </si>
  <si>
    <t>** </t>
  </si>
  <si>
    <t>Výsledek hospodaření za běžnou činnost</t>
  </si>
  <si>
    <t>provozní VH + finan. VH - Q.</t>
  </si>
  <si>
    <t>Mimořádné výnosy</t>
  </si>
  <si>
    <t>681, 688</t>
  </si>
  <si>
    <t>Mimořádné náklady</t>
  </si>
  <si>
    <t>581, 582, (+/-)584, (+/-)588, 589</t>
  </si>
  <si>
    <t>S.</t>
  </si>
  <si>
    <t>Daň z příjmů z mimořádné činnosti</t>
  </si>
  <si>
    <t>S.1. + S.2.</t>
  </si>
  <si>
    <t>(+/-)594</t>
  </si>
  <si>
    <t>Mimořádný výsledek hospodaření</t>
  </si>
  <si>
    <t>XIII. - R. - S.</t>
  </si>
  <si>
    <t>Převod podílu na výsledku hospodaření společníkům</t>
  </si>
  <si>
    <t>(+/-) 596</t>
  </si>
  <si>
    <t>*** </t>
  </si>
  <si>
    <t>Výsledek hospodaření za účetní období (+/-)</t>
  </si>
  <si>
    <t>Provozní + finanční +mimořádný výsledek hospodaření</t>
  </si>
  <si>
    <t>+</t>
  </si>
  <si>
    <t>I. - A.</t>
  </si>
  <si>
    <t>601, 602, 611, 612, 613, 614, 621, 622, 623, 624</t>
  </si>
  <si>
    <t>501, 502, 503, 511, 512, 513, 518</t>
  </si>
  <si>
    <t>I. – A. + II. – B.</t>
  </si>
  <si>
    <t>521, 522, 523, 524, 525, 526, 527, 528</t>
  </si>
  <si>
    <t>Daně</t>
  </si>
  <si>
    <t>641, 642</t>
  </si>
  <si>
    <t>541, 542</t>
  </si>
  <si>
    <t>*</t>
  </si>
  <si>
    <t>Zohlednění položek výnosů (I. až V.) a nákladů (A. až I.)</t>
  </si>
  <si>
    <t>Zohlednění položek výnosů VI. až XII. a nákladů J. až P.</t>
  </si>
  <si>
    <t>591, 592, 595</t>
  </si>
  <si>
    <t>**</t>
  </si>
  <si>
    <t>Provozní VH + finanční VH - Q.</t>
  </si>
  <si>
    <t>581, 582, 584, 588, 589</t>
  </si>
  <si>
    <t>593, 594</t>
  </si>
  <si>
    <t>XIII. – R. – S.</t>
  </si>
  <si>
    <t>Převod podílů na výsledku hospodaření společníkům (+/-)</t>
  </si>
  <si>
    <t>***</t>
  </si>
  <si>
    <t>Provozní + finanční + mimořádný výsledek hospodaření</t>
  </si>
  <si>
    <t>066 - Půjčky ovládaným a řízeným osobám a účetním jednotkám pod podstatným vlivem</t>
  </si>
  <si>
    <t>Výsledek hospodaření před zdaněním</t>
  </si>
  <si>
    <t>****</t>
  </si>
  <si>
    <t>označení</t>
  </si>
  <si>
    <t>název</t>
  </si>
  <si>
    <t>výpočet</t>
  </si>
  <si>
    <t>brutto</t>
  </si>
  <si>
    <t>korekce</t>
  </si>
  <si>
    <t>netto</t>
  </si>
  <si>
    <t>netto v minulém období</t>
  </si>
  <si>
    <t>aktiva</t>
  </si>
  <si>
    <t>A</t>
  </si>
  <si>
    <t>P</t>
  </si>
  <si>
    <t>rok 2010</t>
  </si>
  <si>
    <t>rok 2011</t>
  </si>
  <si>
    <t>V</t>
  </si>
  <si>
    <t>číslo řádku</t>
  </si>
  <si>
    <t>Zpracováno v souladu s vyhláškou</t>
  </si>
  <si>
    <t>ROZVAHA</t>
  </si>
  <si>
    <t xml:space="preserve">Obchodní firma nebo jiný </t>
  </si>
  <si>
    <t xml:space="preserve"> č. 500/2002 Sb., ve znění pozdějších předpisů</t>
  </si>
  <si>
    <t>ve zjednodušeném rozsahu</t>
  </si>
  <si>
    <t>název účetní jednotky</t>
  </si>
  <si>
    <t>(v celých tisících Kč)</t>
  </si>
  <si>
    <t>ke dni</t>
  </si>
  <si>
    <t>IČ</t>
  </si>
  <si>
    <t>Sídlo, bydliště nebo místo</t>
  </si>
  <si>
    <t>podnikání účetní jednotky</t>
  </si>
  <si>
    <t>Označení
a</t>
  </si>
  <si>
    <t>AKTIVA            
b</t>
  </si>
  <si>
    <t>Číslo řádku
c</t>
  </si>
  <si>
    <t>Běžné účetní období</t>
  </si>
  <si>
    <t>Minulé úč. období</t>
  </si>
  <si>
    <t>Brutto
1</t>
  </si>
  <si>
    <t>Korekce
2</t>
  </si>
  <si>
    <t>Netto
3</t>
  </si>
  <si>
    <t>Netto
4</t>
  </si>
  <si>
    <t>PASIVA            
b</t>
  </si>
  <si>
    <t>Běžné 
účetní období
5</t>
  </si>
  <si>
    <t>Minulé
účetní období
6</t>
  </si>
  <si>
    <r>
      <t>Sestaveno dne:</t>
    </r>
    <r>
      <rPr>
        <sz val="10"/>
        <rFont val="Arial"/>
        <family val="2"/>
        <charset val="238"/>
      </rPr>
      <t xml:space="preserve"> </t>
    </r>
  </si>
  <si>
    <t>Právní forma účetní jednotky:</t>
  </si>
  <si>
    <r>
      <t>Předmět podnikání účetní jednotky:</t>
    </r>
    <r>
      <rPr>
        <sz val="10"/>
        <rFont val="Arial"/>
        <family val="2"/>
        <charset val="238"/>
      </rPr>
      <t xml:space="preserve"> </t>
    </r>
  </si>
  <si>
    <r>
      <t>Podpisový záznam:</t>
    </r>
    <r>
      <rPr>
        <sz val="10"/>
        <rFont val="Arial"/>
        <family val="2"/>
        <charset val="238"/>
      </rPr>
      <t xml:space="preserve"> </t>
    </r>
  </si>
  <si>
    <t xml:space="preserve">MITHRADES a.s. , </t>
  </si>
  <si>
    <t>organizační jednotka</t>
  </si>
  <si>
    <t>Kudlovice 35</t>
  </si>
  <si>
    <t>687 03 Babice</t>
  </si>
  <si>
    <t>31. prosince 2011</t>
  </si>
  <si>
    <t>akciová společnost</t>
  </si>
  <si>
    <t>(zasláno a ověřeno datovou schránkou)</t>
  </si>
  <si>
    <t>Poradenství pro IT, dopravu a udržitelný rozvoj</t>
  </si>
  <si>
    <t>VÝKAZ ZISKU A ZTRÁTY</t>
  </si>
  <si>
    <t xml:space="preserve"> č. 500/2002 Sb. ve znění pozdějších předpisů</t>
  </si>
  <si>
    <t>TEXT            
b</t>
  </si>
  <si>
    <t>Skutečnost v účetním období</t>
  </si>
  <si>
    <t>sledovaném
1</t>
  </si>
  <si>
    <t>minulém
2</t>
  </si>
  <si>
    <r>
      <t>Sestaveno dne:</t>
    </r>
    <r>
      <rPr>
        <sz val="11"/>
        <color theme="1"/>
        <rFont val="Calibri"/>
        <family val="2"/>
        <charset val="238"/>
        <scheme val="minor"/>
      </rPr>
      <t xml:space="preserve"> </t>
    </r>
  </si>
  <si>
    <t>Předmět podnikání účetní jednotky:</t>
  </si>
  <si>
    <r>
      <t>Podpisový záznam:</t>
    </r>
    <r>
      <rPr>
        <sz val="11"/>
        <color theme="1"/>
        <rFont val="Calibri"/>
        <family val="2"/>
        <charset val="238"/>
        <scheme val="minor"/>
      </rPr>
      <t xml:space="preserve"> </t>
    </r>
  </si>
  <si>
    <t>za období od 1. ledna 2011 do 31. prosince 2011</t>
  </si>
</sst>
</file>

<file path=xl/styles.xml><?xml version="1.0" encoding="utf-8"?>
<styleSheet xmlns="http://schemas.openxmlformats.org/spreadsheetml/2006/main">
  <numFmts count="2">
    <numFmt numFmtId="164" formatCode="_-* #,##0.00\ [$Kč-405]_-;\-* #,##0.00\ [$Kč-405]_-;_-* &quot;-&quot;??\ [$Kč-405]_-;_-@_-"/>
    <numFmt numFmtId="165" formatCode="[$-F800]dddd\,\ mmmm\ dd\,\ yyyy"/>
  </numFmts>
  <fonts count="15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Symbol"/>
      <family val="1"/>
      <charset val="2"/>
    </font>
    <font>
      <b/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7"/>
      <name val="Arial"/>
      <family val="2"/>
      <charset val="238"/>
    </font>
    <font>
      <b/>
      <sz val="10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0"/>
      <name val="Arial"/>
      <charset val="238"/>
    </font>
    <font>
      <sz val="7"/>
      <name val="Arial"/>
      <charset val="238"/>
    </font>
    <font>
      <sz val="8"/>
      <name val="Arial"/>
      <charset val="238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E0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6" borderId="0" applyNumberFormat="0" applyBorder="0" applyAlignment="0" applyProtection="0"/>
    <xf numFmtId="0" fontId="7" fillId="7" borderId="0" applyNumberFormat="0" applyBorder="0" applyAlignment="0" applyProtection="0"/>
  </cellStyleXfs>
  <cellXfs count="106">
    <xf numFmtId="0" fontId="0" fillId="0" borderId="0" xfId="0"/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vertical="top" wrapText="1"/>
    </xf>
    <xf numFmtId="0" fontId="0" fillId="4" borderId="0" xfId="0" applyFill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5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horizontal="left"/>
    </xf>
    <xf numFmtId="0" fontId="6" fillId="0" borderId="0" xfId="0" applyFont="1"/>
    <xf numFmtId="164" fontId="0" fillId="0" borderId="0" xfId="0" applyNumberForma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 wrapText="1"/>
    </xf>
    <xf numFmtId="0" fontId="2" fillId="3" borderId="0" xfId="2" applyAlignment="1">
      <alignment horizontal="center" wrapText="1"/>
    </xf>
    <xf numFmtId="164" fontId="2" fillId="3" borderId="0" xfId="2" applyNumberFormat="1"/>
    <xf numFmtId="0" fontId="1" fillId="2" borderId="0" xfId="1" applyAlignment="1">
      <alignment horizontal="center" wrapText="1"/>
    </xf>
    <xf numFmtId="0" fontId="2" fillId="3" borderId="0" xfId="2"/>
    <xf numFmtId="0" fontId="7" fillId="7" borderId="0" xfId="4" applyAlignment="1">
      <alignment horizontal="right" wrapText="1"/>
    </xf>
    <xf numFmtId="0" fontId="7" fillId="7" borderId="0" xfId="4" applyAlignment="1">
      <alignment wrapText="1"/>
    </xf>
    <xf numFmtId="164" fontId="7" fillId="7" borderId="0" xfId="4" applyNumberFormat="1"/>
    <xf numFmtId="0" fontId="4" fillId="6" borderId="0" xfId="3" applyAlignment="1">
      <alignment horizontal="right" wrapText="1"/>
    </xf>
    <xf numFmtId="0" fontId="4" fillId="6" borderId="0" xfId="3" applyAlignment="1">
      <alignment wrapText="1"/>
    </xf>
    <xf numFmtId="164" fontId="4" fillId="6" borderId="0" xfId="3" applyNumberFormat="1"/>
    <xf numFmtId="0" fontId="0" fillId="0" borderId="0" xfId="0" applyBorder="1" applyAlignment="1"/>
    <xf numFmtId="0" fontId="8" fillId="0" borderId="0" xfId="0" applyFont="1" applyBorder="1" applyAlignment="1"/>
    <xf numFmtId="1" fontId="8" fillId="0" borderId="0" xfId="0" applyNumberFormat="1" applyFont="1" applyBorder="1" applyAlignment="1"/>
    <xf numFmtId="0" fontId="10" fillId="0" borderId="0" xfId="0" applyFont="1" applyAlignment="1">
      <alignment horizontal="left"/>
    </xf>
    <xf numFmtId="0" fontId="0" fillId="0" borderId="0" xfId="0" applyFill="1"/>
    <xf numFmtId="0" fontId="8" fillId="0" borderId="0" xfId="0" applyFont="1" applyFill="1" applyAlignment="1">
      <alignment vertical="top"/>
    </xf>
    <xf numFmtId="0" fontId="11" fillId="0" borderId="0" xfId="0" applyFont="1" applyFill="1" applyAlignment="1"/>
    <xf numFmtId="0" fontId="0" fillId="0" borderId="0" xfId="0" applyFill="1" applyBorder="1" applyAlignment="1"/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vertical="top"/>
    </xf>
    <xf numFmtId="0" fontId="0" fillId="0" borderId="17" xfId="0" applyFill="1" applyBorder="1" applyAlignment="1"/>
    <xf numFmtId="1" fontId="0" fillId="0" borderId="17" xfId="0" applyNumberFormat="1" applyFill="1" applyBorder="1" applyAlignment="1"/>
    <xf numFmtId="0" fontId="1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3" fillId="5" borderId="0" xfId="0" applyFont="1" applyFill="1" applyAlignment="1">
      <alignment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top" wrapText="1"/>
    </xf>
    <xf numFmtId="165" fontId="0" fillId="0" borderId="1" xfId="0" applyNumberFormat="1" applyBorder="1" applyAlignment="1">
      <alignment horizontal="left"/>
    </xf>
    <xf numFmtId="165" fontId="0" fillId="0" borderId="1" xfId="0" applyNumberFormat="1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8" borderId="12" xfId="0" applyFont="1" applyFill="1" applyBorder="1" applyAlignment="1">
      <alignment horizontal="left" vertical="center"/>
    </xf>
    <xf numFmtId="0" fontId="10" fillId="8" borderId="15" xfId="0" applyFont="1" applyFill="1" applyBorder="1" applyAlignment="1">
      <alignment horizontal="left" vertical="center"/>
    </xf>
    <xf numFmtId="0" fontId="10" fillId="8" borderId="16" xfId="0" applyFont="1" applyFill="1" applyBorder="1" applyAlignment="1">
      <alignment horizontal="left" vertical="center"/>
    </xf>
    <xf numFmtId="0" fontId="8" fillId="8" borderId="11" xfId="0" applyFont="1" applyFill="1" applyBorder="1" applyAlignment="1">
      <alignment horizontal="left" vertical="center"/>
    </xf>
    <xf numFmtId="1" fontId="10" fillId="8" borderId="12" xfId="0" applyNumberFormat="1" applyFont="1" applyFill="1" applyBorder="1" applyAlignment="1">
      <alignment horizontal="center" vertical="center"/>
    </xf>
    <xf numFmtId="1" fontId="10" fillId="8" borderId="16" xfId="0" applyNumberFormat="1" applyFont="1" applyFill="1" applyBorder="1" applyAlignment="1">
      <alignment horizontal="center" vertical="center"/>
    </xf>
    <xf numFmtId="1" fontId="11" fillId="0" borderId="11" xfId="0" applyNumberFormat="1" applyFont="1" applyFill="1" applyBorder="1" applyAlignment="1">
      <alignment horizontal="right" vertical="center"/>
    </xf>
    <xf numFmtId="0" fontId="8" fillId="0" borderId="13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1" fontId="8" fillId="0" borderId="13" xfId="0" applyNumberFormat="1" applyFont="1" applyBorder="1" applyAlignment="1">
      <alignment horizontal="center" vertical="center" wrapText="1"/>
    </xf>
    <xf numFmtId="1" fontId="8" fillId="0" borderId="13" xfId="0" applyNumberFormat="1" applyFont="1" applyBorder="1" applyAlignment="1">
      <alignment horizontal="center" vertical="center"/>
    </xf>
    <xf numFmtId="1" fontId="8" fillId="0" borderId="14" xfId="0" applyNumberFormat="1" applyFont="1" applyBorder="1" applyAlignment="1">
      <alignment horizontal="center" vertical="center"/>
    </xf>
    <xf numFmtId="1" fontId="11" fillId="0" borderId="11" xfId="0" applyNumberFormat="1" applyFont="1" applyFill="1" applyBorder="1" applyAlignment="1">
      <alignment vertical="center"/>
    </xf>
    <xf numFmtId="0" fontId="8" fillId="0" borderId="11" xfId="0" applyFont="1" applyFill="1" applyBorder="1" applyAlignment="1">
      <alignment vertical="center"/>
    </xf>
    <xf numFmtId="0" fontId="8" fillId="0" borderId="11" xfId="0" applyFont="1" applyFill="1" applyBorder="1" applyAlignment="1">
      <alignment vertical="center" wrapText="1"/>
    </xf>
    <xf numFmtId="1" fontId="10" fillId="0" borderId="11" xfId="0" applyNumberFormat="1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wrapText="1"/>
    </xf>
    <xf numFmtId="0" fontId="8" fillId="0" borderId="10" xfId="0" applyFont="1" applyFill="1" applyBorder="1" applyAlignment="1">
      <alignment horizontal="center" wrapText="1"/>
    </xf>
    <xf numFmtId="0" fontId="8" fillId="0" borderId="9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8" fillId="8" borderId="0" xfId="0" applyFont="1" applyFill="1" applyAlignment="1">
      <alignment horizontal="left" vertical="top"/>
    </xf>
    <xf numFmtId="0" fontId="11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0" xfId="0" applyFill="1" applyAlignment="1"/>
    <xf numFmtId="0" fontId="11" fillId="0" borderId="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0" fillId="8" borderId="0" xfId="0" applyFill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8" fillId="8" borderId="0" xfId="0" applyFont="1" applyFill="1" applyAlignment="1">
      <alignment horizontal="left"/>
    </xf>
    <xf numFmtId="0" fontId="9" fillId="0" borderId="0" xfId="0" applyFont="1" applyFill="1" applyAlignment="1">
      <alignment horizontal="center" vertical="top"/>
    </xf>
    <xf numFmtId="165" fontId="0" fillId="0" borderId="1" xfId="0" applyNumberFormat="1" applyFill="1" applyBorder="1" applyAlignment="1">
      <alignment horizontal="left"/>
    </xf>
    <xf numFmtId="165" fontId="0" fillId="0" borderId="1" xfId="0" applyNumberFormat="1" applyFill="1" applyBorder="1" applyAlignment="1"/>
    <xf numFmtId="0" fontId="1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13" fillId="0" borderId="11" xfId="0" applyNumberFormat="1" applyFont="1" applyFill="1" applyBorder="1" applyAlignment="1">
      <alignment horizontal="center" vertical="center"/>
    </xf>
    <xf numFmtId="0" fontId="13" fillId="0" borderId="11" xfId="0" applyNumberFormat="1" applyFont="1" applyFill="1" applyBorder="1" applyAlignment="1">
      <alignment horizontal="left" vertical="center"/>
    </xf>
    <xf numFmtId="0" fontId="14" fillId="0" borderId="11" xfId="0" applyNumberFormat="1" applyFont="1" applyFill="1" applyBorder="1" applyAlignment="1">
      <alignment horizontal="center" vertical="center"/>
    </xf>
    <xf numFmtId="1" fontId="12" fillId="0" borderId="11" xfId="0" applyNumberFormat="1" applyFont="1" applyFill="1" applyBorder="1" applyAlignment="1">
      <alignment vertical="center"/>
    </xf>
    <xf numFmtId="1" fontId="0" fillId="0" borderId="11" xfId="0" applyNumberFormat="1" applyFill="1" applyBorder="1" applyAlignment="1">
      <alignment vertical="center"/>
    </xf>
    <xf numFmtId="1" fontId="12" fillId="0" borderId="11" xfId="0" applyNumberFormat="1" applyFont="1" applyFill="1" applyBorder="1" applyAlignment="1">
      <alignment horizontal="right" vertical="center"/>
    </xf>
    <xf numFmtId="0" fontId="13" fillId="0" borderId="9" xfId="0" applyNumberFormat="1" applyFont="1" applyFill="1" applyBorder="1" applyAlignment="1">
      <alignment horizontal="center" wrapText="1"/>
    </xf>
    <xf numFmtId="0" fontId="13" fillId="0" borderId="10" xfId="0" applyNumberFormat="1" applyFont="1" applyFill="1" applyBorder="1" applyAlignment="1">
      <alignment horizontal="center" wrapText="1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14" fillId="0" borderId="0" xfId="0" applyFont="1" applyFill="1" applyBorder="1" applyAlignment="1">
      <alignment horizontal="center" vertical="top"/>
    </xf>
  </cellXfs>
  <cellStyles count="5">
    <cellStyle name="40 % – Zvýraznění3" xfId="4" builtinId="39"/>
    <cellStyle name="Chybně" xfId="2" builtinId="27"/>
    <cellStyle name="normální" xfId="0" builtinId="0"/>
    <cellStyle name="Správně" xfId="1" builtinId="26"/>
    <cellStyle name="Zvýraznění 3" xfId="3" builtinId="3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&#225;v&#283;rka-2011-obraty_&#250;&#269;t&#36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yntetické_účty"/>
      <sheetName val="analytické_účty"/>
    </sheetNames>
    <sheetDataSet>
      <sheetData sheetId="0">
        <row r="1">
          <cell r="A1" t="str">
            <v>rok</v>
          </cell>
          <cell r="B1" t="str">
            <v>číslo_účtu</v>
          </cell>
          <cell r="C1" t="str">
            <v>jméno_účtu</v>
          </cell>
          <cell r="D1" t="str">
            <v>obrat_má_dáti</v>
          </cell>
          <cell r="E1" t="str">
            <v>obrat_dal</v>
          </cell>
          <cell r="F1" t="str">
            <v>konečný_zůstatek</v>
          </cell>
        </row>
        <row r="2">
          <cell r="A2">
            <v>2011</v>
          </cell>
          <cell r="B2">
            <v>42</v>
          </cell>
          <cell r="C2" t="str">
            <v>Pořízení dlouhodobého hmotného majetku</v>
          </cell>
          <cell r="D2">
            <v>335957</v>
          </cell>
          <cell r="E2">
            <v>0</v>
          </cell>
          <cell r="F2">
            <v>335957</v>
          </cell>
        </row>
        <row r="3">
          <cell r="A3">
            <v>2011</v>
          </cell>
          <cell r="B3">
            <v>211</v>
          </cell>
          <cell r="C3" t="str">
            <v>Pokladna</v>
          </cell>
          <cell r="D3">
            <v>675879.21</v>
          </cell>
          <cell r="E3">
            <v>651486.97</v>
          </cell>
          <cell r="F3">
            <v>24392.240000000002</v>
          </cell>
        </row>
        <row r="4">
          <cell r="A4">
            <v>2011</v>
          </cell>
          <cell r="B4">
            <v>221</v>
          </cell>
          <cell r="C4" t="str">
            <v>Bankovní účty</v>
          </cell>
          <cell r="D4">
            <v>349314.09</v>
          </cell>
          <cell r="E4">
            <v>233075.21</v>
          </cell>
          <cell r="F4">
            <v>116238.88</v>
          </cell>
        </row>
        <row r="5">
          <cell r="A5">
            <v>2011</v>
          </cell>
          <cell r="B5">
            <v>321</v>
          </cell>
          <cell r="C5" t="str">
            <v>Závazky z obchodních vztahů</v>
          </cell>
          <cell r="D5">
            <v>57065</v>
          </cell>
          <cell r="E5">
            <v>58511</v>
          </cell>
          <cell r="F5">
            <v>1446</v>
          </cell>
        </row>
        <row r="6">
          <cell r="A6">
            <v>2011</v>
          </cell>
          <cell r="B6">
            <v>343</v>
          </cell>
          <cell r="D6">
            <v>49808.76</v>
          </cell>
          <cell r="E6">
            <v>49055</v>
          </cell>
          <cell r="F6">
            <v>753.76</v>
          </cell>
        </row>
        <row r="7">
          <cell r="A7">
            <v>2011</v>
          </cell>
          <cell r="B7">
            <v>411</v>
          </cell>
          <cell r="C7" t="str">
            <v>Základní kapitál</v>
          </cell>
          <cell r="D7">
            <v>0</v>
          </cell>
          <cell r="E7">
            <v>500000</v>
          </cell>
          <cell r="F7">
            <v>500000</v>
          </cell>
        </row>
        <row r="8">
          <cell r="A8">
            <v>2011</v>
          </cell>
          <cell r="B8">
            <v>501</v>
          </cell>
          <cell r="C8" t="str">
            <v>Spotřeba materiálu</v>
          </cell>
          <cell r="D8">
            <v>247004.16</v>
          </cell>
          <cell r="E8">
            <v>0</v>
          </cell>
          <cell r="F8">
            <v>247004.16</v>
          </cell>
        </row>
        <row r="9">
          <cell r="A9">
            <v>2011</v>
          </cell>
          <cell r="B9">
            <v>511</v>
          </cell>
          <cell r="C9" t="str">
            <v>Opravy a udržování</v>
          </cell>
          <cell r="D9">
            <v>1166.6199999999999</v>
          </cell>
          <cell r="E9">
            <v>0</v>
          </cell>
          <cell r="F9">
            <v>1166.6199999999999</v>
          </cell>
        </row>
        <row r="10">
          <cell r="A10">
            <v>2011</v>
          </cell>
          <cell r="B10">
            <v>518</v>
          </cell>
          <cell r="C10" t="str">
            <v>Ostatní služby</v>
          </cell>
          <cell r="D10">
            <v>1667.43</v>
          </cell>
          <cell r="E10">
            <v>0</v>
          </cell>
          <cell r="F10">
            <v>1667.43</v>
          </cell>
        </row>
        <row r="11">
          <cell r="A11">
            <v>2011</v>
          </cell>
          <cell r="B11">
            <v>568</v>
          </cell>
          <cell r="C11" t="str">
            <v>Ostatní finanční náklady</v>
          </cell>
          <cell r="D11">
            <v>131</v>
          </cell>
          <cell r="E11">
            <v>0</v>
          </cell>
          <cell r="F11">
            <v>131</v>
          </cell>
        </row>
        <row r="12">
          <cell r="A12">
            <v>2011</v>
          </cell>
          <cell r="B12">
            <v>624</v>
          </cell>
          <cell r="C12" t="str">
            <v>Aktivace dlouhodobého hmotného majetku</v>
          </cell>
          <cell r="D12">
            <v>0</v>
          </cell>
          <cell r="E12">
            <v>225806</v>
          </cell>
          <cell r="F12">
            <v>225806</v>
          </cell>
        </row>
        <row r="13">
          <cell r="A13">
            <v>2011</v>
          </cell>
          <cell r="B13">
            <v>662</v>
          </cell>
          <cell r="C13" t="str">
            <v>Úroky</v>
          </cell>
          <cell r="D13">
            <v>0</v>
          </cell>
          <cell r="E13">
            <v>59.09</v>
          </cell>
          <cell r="F13">
            <v>59.09</v>
          </cell>
        </row>
      </sheetData>
      <sheetData sheetId="1">
        <row r="1">
          <cell r="A1" t="str">
            <v>rok</v>
          </cell>
          <cell r="B1" t="str">
            <v>syntetický účet</v>
          </cell>
          <cell r="C1" t="str">
            <v>analytický účet</v>
          </cell>
          <cell r="D1" t="str">
            <v>jméno_účtu</v>
          </cell>
          <cell r="E1" t="str">
            <v>obrat_má_dáti</v>
          </cell>
          <cell r="F1" t="str">
            <v>obrat_dal</v>
          </cell>
          <cell r="G1" t="str">
            <v>konečný_zůstatek</v>
          </cell>
        </row>
        <row r="2">
          <cell r="A2">
            <v>2011</v>
          </cell>
          <cell r="B2">
            <v>42</v>
          </cell>
          <cell r="C2">
            <v>100</v>
          </cell>
          <cell r="D2" t="str">
            <v>Geodetické práce</v>
          </cell>
          <cell r="E2">
            <v>4580</v>
          </cell>
          <cell r="F2">
            <v>0</v>
          </cell>
          <cell r="G2">
            <v>4580</v>
          </cell>
        </row>
        <row r="3">
          <cell r="A3">
            <v>2011</v>
          </cell>
          <cell r="B3">
            <v>42</v>
          </cell>
          <cell r="C3">
            <v>110</v>
          </cell>
          <cell r="D3" t="str">
            <v>Exe - za pořízení pozemku</v>
          </cell>
          <cell r="E3">
            <v>105571</v>
          </cell>
          <cell r="F3">
            <v>0</v>
          </cell>
          <cell r="G3">
            <v>105571</v>
          </cell>
        </row>
        <row r="4">
          <cell r="A4">
            <v>2011</v>
          </cell>
          <cell r="B4">
            <v>42</v>
          </cell>
          <cell r="C4">
            <v>200</v>
          </cell>
          <cell r="D4" t="str">
            <v>stavba Petrovice</v>
          </cell>
          <cell r="E4">
            <v>225806</v>
          </cell>
          <cell r="F4">
            <v>0</v>
          </cell>
          <cell r="G4">
            <v>225806</v>
          </cell>
        </row>
        <row r="5">
          <cell r="A5">
            <v>2011</v>
          </cell>
          <cell r="B5">
            <v>211</v>
          </cell>
          <cell r="C5">
            <v>1</v>
          </cell>
          <cell r="D5" t="str">
            <v>Pokladna</v>
          </cell>
          <cell r="E5">
            <v>530000</v>
          </cell>
          <cell r="F5">
            <v>545915.97</v>
          </cell>
          <cell r="G5">
            <v>-15915.97</v>
          </cell>
        </row>
        <row r="6">
          <cell r="A6">
            <v>2011</v>
          </cell>
          <cell r="B6">
            <v>211</v>
          </cell>
          <cell r="C6">
            <v>3</v>
          </cell>
          <cell r="D6" t="str">
            <v>Pokladna Pacov</v>
          </cell>
          <cell r="E6">
            <v>15899.6</v>
          </cell>
          <cell r="F6">
            <v>0</v>
          </cell>
          <cell r="G6">
            <v>15899.6</v>
          </cell>
        </row>
        <row r="7">
          <cell r="A7">
            <v>2011</v>
          </cell>
          <cell r="B7">
            <v>211</v>
          </cell>
          <cell r="C7">
            <v>4</v>
          </cell>
          <cell r="D7" t="str">
            <v>Pokladna Sk</v>
          </cell>
          <cell r="E7">
            <v>9901.61</v>
          </cell>
          <cell r="F7">
            <v>0</v>
          </cell>
          <cell r="G7">
            <v>9901.61</v>
          </cell>
        </row>
        <row r="8">
          <cell r="A8">
            <v>2011</v>
          </cell>
          <cell r="B8">
            <v>211</v>
          </cell>
          <cell r="C8">
            <v>5</v>
          </cell>
          <cell r="D8" t="str">
            <v>Pokladna Martin</v>
          </cell>
          <cell r="E8">
            <v>7649</v>
          </cell>
          <cell r="F8">
            <v>0</v>
          </cell>
          <cell r="G8">
            <v>7649</v>
          </cell>
        </row>
        <row r="9">
          <cell r="A9">
            <v>2011</v>
          </cell>
          <cell r="B9">
            <v>211</v>
          </cell>
          <cell r="C9">
            <v>6</v>
          </cell>
          <cell r="D9" t="str">
            <v>Pokladna moje výdaje</v>
          </cell>
          <cell r="E9">
            <v>112429</v>
          </cell>
          <cell r="F9">
            <v>105571</v>
          </cell>
          <cell r="G9">
            <v>6858</v>
          </cell>
        </row>
        <row r="10">
          <cell r="A10">
            <v>2011</v>
          </cell>
          <cell r="B10">
            <v>221</v>
          </cell>
          <cell r="C10">
            <v>1</v>
          </cell>
          <cell r="D10" t="str">
            <v>Bankovní účty</v>
          </cell>
          <cell r="E10">
            <v>349314.09</v>
          </cell>
          <cell r="F10">
            <v>233075.21</v>
          </cell>
          <cell r="G10">
            <v>116238.88</v>
          </cell>
        </row>
        <row r="11">
          <cell r="A11">
            <v>2011</v>
          </cell>
          <cell r="B11">
            <v>321</v>
          </cell>
          <cell r="C11">
            <v>1</v>
          </cell>
          <cell r="D11" t="str">
            <v>Závazky z obchodních vztahů</v>
          </cell>
          <cell r="E11">
            <v>57065</v>
          </cell>
          <cell r="F11">
            <v>58511</v>
          </cell>
          <cell r="G11">
            <v>1446</v>
          </cell>
        </row>
        <row r="12">
          <cell r="A12">
            <v>2011</v>
          </cell>
          <cell r="B12">
            <v>343</v>
          </cell>
          <cell r="C12">
            <v>10</v>
          </cell>
          <cell r="D12" t="str">
            <v>Daň z přidané hodnoty - snížená sazba 10%</v>
          </cell>
          <cell r="E12">
            <v>168.71</v>
          </cell>
          <cell r="F12">
            <v>0</v>
          </cell>
          <cell r="G12">
            <v>168.71</v>
          </cell>
        </row>
        <row r="13">
          <cell r="A13">
            <v>2011</v>
          </cell>
          <cell r="B13">
            <v>343</v>
          </cell>
          <cell r="C13">
            <v>20</v>
          </cell>
          <cell r="D13" t="str">
            <v>Daň z přidané hodnoty - základní sazba 20%</v>
          </cell>
          <cell r="E13">
            <v>49640.05</v>
          </cell>
          <cell r="F13">
            <v>0</v>
          </cell>
          <cell r="G13">
            <v>49640.05</v>
          </cell>
        </row>
        <row r="14">
          <cell r="A14">
            <v>2011</v>
          </cell>
          <cell r="B14">
            <v>343</v>
          </cell>
          <cell r="C14">
            <v>100</v>
          </cell>
          <cell r="D14" t="str">
            <v>Daň z přidané hodnoty - souhrný účet</v>
          </cell>
          <cell r="E14">
            <v>0</v>
          </cell>
          <cell r="F14">
            <v>49055</v>
          </cell>
          <cell r="G14">
            <v>-49055</v>
          </cell>
        </row>
        <row r="15">
          <cell r="A15">
            <v>2011</v>
          </cell>
          <cell r="B15">
            <v>411</v>
          </cell>
          <cell r="C15">
            <v>1</v>
          </cell>
          <cell r="D15" t="str">
            <v>Základní kapitál</v>
          </cell>
          <cell r="E15">
            <v>0</v>
          </cell>
          <cell r="F15">
            <v>500000</v>
          </cell>
          <cell r="G15">
            <v>500000</v>
          </cell>
        </row>
        <row r="16">
          <cell r="A16">
            <v>2011</v>
          </cell>
          <cell r="B16">
            <v>501</v>
          </cell>
          <cell r="C16">
            <v>101</v>
          </cell>
          <cell r="D16" t="str">
            <v>Spotřeba materiálu - nářadí Petrovice</v>
          </cell>
          <cell r="E16">
            <v>10207.18</v>
          </cell>
          <cell r="F16">
            <v>0</v>
          </cell>
          <cell r="G16">
            <v>10207.18</v>
          </cell>
        </row>
        <row r="17">
          <cell r="A17">
            <v>2011</v>
          </cell>
          <cell r="B17">
            <v>501</v>
          </cell>
          <cell r="C17">
            <v>110</v>
          </cell>
          <cell r="D17" t="str">
            <v>Spotřeba materiálu Petrovice</v>
          </cell>
          <cell r="E17">
            <v>180216.21</v>
          </cell>
          <cell r="F17">
            <v>0</v>
          </cell>
          <cell r="G17">
            <v>180216.21</v>
          </cell>
        </row>
        <row r="18">
          <cell r="A18">
            <v>2011</v>
          </cell>
          <cell r="B18">
            <v>501</v>
          </cell>
          <cell r="C18">
            <v>210</v>
          </cell>
          <cell r="D18" t="str">
            <v>materiál Martin</v>
          </cell>
          <cell r="E18">
            <v>38238.47</v>
          </cell>
          <cell r="F18">
            <v>0</v>
          </cell>
          <cell r="G18">
            <v>38238.47</v>
          </cell>
        </row>
        <row r="19">
          <cell r="A19">
            <v>2011</v>
          </cell>
          <cell r="B19">
            <v>501</v>
          </cell>
          <cell r="C19">
            <v>302</v>
          </cell>
          <cell r="D19" t="str">
            <v>elektronika Hodonín</v>
          </cell>
          <cell r="E19">
            <v>1709.1</v>
          </cell>
          <cell r="F19">
            <v>0</v>
          </cell>
          <cell r="G19">
            <v>1709.1</v>
          </cell>
        </row>
        <row r="20">
          <cell r="A20">
            <v>2011</v>
          </cell>
          <cell r="B20">
            <v>501</v>
          </cell>
          <cell r="C20">
            <v>310</v>
          </cell>
          <cell r="D20" t="str">
            <v>materiál Hodonín</v>
          </cell>
          <cell r="E20">
            <v>1208.96</v>
          </cell>
          <cell r="F20">
            <v>0</v>
          </cell>
          <cell r="G20">
            <v>1208.96</v>
          </cell>
        </row>
        <row r="21">
          <cell r="A21">
            <v>2011</v>
          </cell>
          <cell r="B21">
            <v>501</v>
          </cell>
          <cell r="C21">
            <v>402</v>
          </cell>
          <cell r="D21" t="str">
            <v>drobný majetek na žurky</v>
          </cell>
          <cell r="E21">
            <v>7083.05</v>
          </cell>
          <cell r="F21">
            <v>0</v>
          </cell>
          <cell r="G21">
            <v>7083.05</v>
          </cell>
        </row>
        <row r="22">
          <cell r="A22">
            <v>2011</v>
          </cell>
          <cell r="B22">
            <v>501</v>
          </cell>
          <cell r="C22">
            <v>410</v>
          </cell>
          <cell r="D22" t="str">
            <v>spotřební materiál zahradní</v>
          </cell>
          <cell r="E22">
            <v>100</v>
          </cell>
          <cell r="F22">
            <v>0</v>
          </cell>
          <cell r="G22">
            <v>100</v>
          </cell>
        </row>
        <row r="23">
          <cell r="A23">
            <v>2011</v>
          </cell>
          <cell r="B23">
            <v>501</v>
          </cell>
          <cell r="C23">
            <v>500</v>
          </cell>
          <cell r="D23" t="str">
            <v>kancelářský materiál</v>
          </cell>
          <cell r="E23">
            <v>6553.9</v>
          </cell>
          <cell r="F23">
            <v>0</v>
          </cell>
          <cell r="G23">
            <v>6553.9</v>
          </cell>
        </row>
        <row r="24">
          <cell r="A24">
            <v>2011</v>
          </cell>
          <cell r="B24">
            <v>501</v>
          </cell>
          <cell r="C24">
            <v>700</v>
          </cell>
          <cell r="D24" t="str">
            <v>Palivopvé dřevo</v>
          </cell>
          <cell r="E24">
            <v>718.19</v>
          </cell>
          <cell r="F24">
            <v>0</v>
          </cell>
          <cell r="G24">
            <v>718.19</v>
          </cell>
        </row>
        <row r="25">
          <cell r="A25">
            <v>2011</v>
          </cell>
          <cell r="B25">
            <v>501</v>
          </cell>
          <cell r="C25">
            <v>900</v>
          </cell>
          <cell r="D25" t="str">
            <v>odborná literatura</v>
          </cell>
          <cell r="E25">
            <v>969.1</v>
          </cell>
          <cell r="F25">
            <v>0</v>
          </cell>
          <cell r="G25">
            <v>969.1</v>
          </cell>
        </row>
        <row r="26">
          <cell r="A26">
            <v>2011</v>
          </cell>
          <cell r="B26">
            <v>511</v>
          </cell>
          <cell r="C26">
            <v>101</v>
          </cell>
          <cell r="D26" t="str">
            <v>Opravy a udržování</v>
          </cell>
          <cell r="E26">
            <v>1166.6199999999999</v>
          </cell>
          <cell r="F26">
            <v>0</v>
          </cell>
          <cell r="G26">
            <v>1166.6199999999999</v>
          </cell>
        </row>
        <row r="27">
          <cell r="A27">
            <v>2011</v>
          </cell>
          <cell r="B27">
            <v>518</v>
          </cell>
          <cell r="C27">
            <v>103</v>
          </cell>
          <cell r="D27" t="str">
            <v>pronájem auta Petrovice</v>
          </cell>
          <cell r="E27">
            <v>429.15</v>
          </cell>
          <cell r="F27">
            <v>0</v>
          </cell>
          <cell r="G27">
            <v>429.15</v>
          </cell>
        </row>
        <row r="28">
          <cell r="A28">
            <v>2011</v>
          </cell>
          <cell r="B28">
            <v>518</v>
          </cell>
          <cell r="C28">
            <v>104</v>
          </cell>
          <cell r="D28" t="str">
            <v>doprava Petrovice</v>
          </cell>
          <cell r="E28">
            <v>946.63</v>
          </cell>
          <cell r="F28">
            <v>0</v>
          </cell>
          <cell r="G28">
            <v>946.63</v>
          </cell>
        </row>
        <row r="29">
          <cell r="A29">
            <v>2011</v>
          </cell>
          <cell r="B29">
            <v>518</v>
          </cell>
          <cell r="C29">
            <v>301</v>
          </cell>
          <cell r="D29" t="str">
            <v>pronájem nářadí Hodonín</v>
          </cell>
          <cell r="E29">
            <v>291.64999999999998</v>
          </cell>
          <cell r="F29">
            <v>0</v>
          </cell>
          <cell r="G29">
            <v>291.64999999999998</v>
          </cell>
        </row>
        <row r="30">
          <cell r="A30">
            <v>2011</v>
          </cell>
          <cell r="B30">
            <v>568</v>
          </cell>
          <cell r="C30">
            <v>100</v>
          </cell>
          <cell r="D30" t="str">
            <v>Poplatky z vedení účtu</v>
          </cell>
          <cell r="E30">
            <v>131</v>
          </cell>
          <cell r="F30">
            <v>0</v>
          </cell>
          <cell r="G30">
            <v>131</v>
          </cell>
        </row>
        <row r="31">
          <cell r="A31">
            <v>2011</v>
          </cell>
          <cell r="B31">
            <v>624</v>
          </cell>
          <cell r="C31">
            <v>1</v>
          </cell>
          <cell r="D31" t="str">
            <v>Aktivace dlouhodobého hmotného majetku</v>
          </cell>
          <cell r="E31">
            <v>0</v>
          </cell>
          <cell r="F31">
            <v>225806</v>
          </cell>
          <cell r="G31">
            <v>225806</v>
          </cell>
        </row>
        <row r="32">
          <cell r="A32">
            <v>2011</v>
          </cell>
          <cell r="B32">
            <v>662</v>
          </cell>
          <cell r="C32">
            <v>100</v>
          </cell>
          <cell r="D32" t="str">
            <v>Úroky z běžného účtu</v>
          </cell>
          <cell r="E32">
            <v>0</v>
          </cell>
          <cell r="F32">
            <v>59.09</v>
          </cell>
          <cell r="G32">
            <v>59.09</v>
          </cell>
        </row>
      </sheetData>
    </sheetDataSet>
  </externalBook>
</externalLink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activeCell="E12" sqref="E12"/>
    </sheetView>
  </sheetViews>
  <sheetFormatPr defaultRowHeight="15"/>
  <cols>
    <col min="1" max="1" width="7.85546875" customWidth="1"/>
    <col min="2" max="2" width="10.85546875" bestFit="1" customWidth="1"/>
    <col min="3" max="3" width="43.28515625" customWidth="1"/>
    <col min="4" max="4" width="15.85546875" bestFit="1" customWidth="1"/>
    <col min="5" max="5" width="14" bestFit="1" customWidth="1"/>
    <col min="6" max="6" width="19" bestFit="1" customWidth="1"/>
    <col min="9" max="10" width="14" bestFit="1" customWidth="1"/>
  </cols>
  <sheetData>
    <row r="1" spans="1:10" ht="15.75">
      <c r="A1" s="13" t="str">
        <f>[1]syntetické_účty!A1</f>
        <v>rok</v>
      </c>
      <c r="B1" s="13" t="str">
        <f>[1]syntetické_účty!B1</f>
        <v>číslo_účtu</v>
      </c>
      <c r="C1" s="13" t="str">
        <f>[1]syntetické_účty!C1</f>
        <v>jméno_účtu</v>
      </c>
      <c r="D1" s="13" t="str">
        <f>[1]syntetické_účty!D1</f>
        <v>obrat_má_dáti</v>
      </c>
      <c r="E1" s="13" t="str">
        <f>[1]syntetické_účty!E1</f>
        <v>obrat_dal</v>
      </c>
      <c r="F1" s="13" t="str">
        <f>[1]syntetické_účty!F1</f>
        <v>konečný_zůstatek</v>
      </c>
    </row>
    <row r="2" spans="1:10">
      <c r="A2">
        <f>[1]syntetické_účty!A2</f>
        <v>2011</v>
      </c>
      <c r="B2">
        <f>[1]syntetické_účty!B2</f>
        <v>42</v>
      </c>
      <c r="C2" t="str">
        <f>[1]syntetické_účty!C2</f>
        <v>Pořízení dlouhodobého hmotného majetku</v>
      </c>
      <c r="D2" s="14">
        <f>[1]syntetické_účty!D2</f>
        <v>335957</v>
      </c>
      <c r="E2" s="14">
        <f>[1]syntetické_účty!E2</f>
        <v>0</v>
      </c>
      <c r="F2" s="14">
        <f>[1]syntetické_účty!F2</f>
        <v>335957</v>
      </c>
      <c r="H2" s="11" t="s">
        <v>881</v>
      </c>
      <c r="J2" s="14"/>
    </row>
    <row r="3" spans="1:10">
      <c r="A3">
        <f>[1]syntetické_účty!A3</f>
        <v>2011</v>
      </c>
      <c r="B3">
        <f>[1]syntetické_účty!B3</f>
        <v>211</v>
      </c>
      <c r="C3" t="str">
        <f>[1]syntetické_účty!C3</f>
        <v>Pokladna</v>
      </c>
      <c r="D3" s="14">
        <f>[1]syntetické_účty!D3</f>
        <v>675879.21</v>
      </c>
      <c r="E3" s="14">
        <f>[1]syntetické_účty!E3</f>
        <v>651486.97</v>
      </c>
      <c r="F3" s="14">
        <f>[1]syntetické_účty!F3</f>
        <v>24392.240000000002</v>
      </c>
      <c r="H3" s="11" t="s">
        <v>881</v>
      </c>
    </row>
    <row r="4" spans="1:10">
      <c r="A4">
        <f>[1]syntetické_účty!A4</f>
        <v>2011</v>
      </c>
      <c r="B4">
        <f>[1]syntetické_účty!B4</f>
        <v>221</v>
      </c>
      <c r="C4" t="str">
        <f>[1]syntetické_účty!C4</f>
        <v>Bankovní účty</v>
      </c>
      <c r="D4" s="14">
        <f>[1]syntetické_účty!D4</f>
        <v>349314.09</v>
      </c>
      <c r="E4" s="14">
        <f>[1]syntetické_účty!E4</f>
        <v>233075.21</v>
      </c>
      <c r="F4" s="14">
        <f>[1]syntetické_účty!F4</f>
        <v>116238.88</v>
      </c>
      <c r="H4" s="11" t="s">
        <v>881</v>
      </c>
      <c r="I4" s="14">
        <f>SUM(F2:F4)</f>
        <v>476588.12</v>
      </c>
      <c r="J4" s="11" t="s">
        <v>880</v>
      </c>
    </row>
    <row r="5" spans="1:10">
      <c r="A5">
        <f>[1]syntetické_účty!A5</f>
        <v>2011</v>
      </c>
      <c r="B5">
        <f>[1]syntetické_účty!B5</f>
        <v>321</v>
      </c>
      <c r="C5" t="str">
        <f>[1]syntetické_účty!C5</f>
        <v>Závazky z obchodních vztahů</v>
      </c>
      <c r="D5" s="14">
        <f>[1]syntetické_účty!D5</f>
        <v>57065</v>
      </c>
      <c r="E5" s="14">
        <f>[1]syntetické_účty!E5</f>
        <v>58511</v>
      </c>
      <c r="F5" s="14">
        <f>[1]syntetické_účty!F5</f>
        <v>1446</v>
      </c>
      <c r="H5" s="11" t="s">
        <v>882</v>
      </c>
      <c r="I5" s="11"/>
      <c r="J5" s="14"/>
    </row>
    <row r="6" spans="1:10">
      <c r="A6">
        <f>[1]syntetické_účty!A6</f>
        <v>2011</v>
      </c>
      <c r="B6">
        <f>[1]syntetické_účty!B6</f>
        <v>343</v>
      </c>
      <c r="C6">
        <f>[1]syntetické_účty!C6</f>
        <v>0</v>
      </c>
      <c r="D6" s="14">
        <f>[1]syntetické_účty!D6</f>
        <v>49808.76</v>
      </c>
      <c r="E6" s="14">
        <f>[1]syntetické_účty!E6</f>
        <v>49055</v>
      </c>
      <c r="F6" s="14">
        <f>[1]syntetické_účty!F6</f>
        <v>753.76</v>
      </c>
      <c r="I6" s="22"/>
    </row>
    <row r="7" spans="1:10">
      <c r="A7">
        <f>[1]syntetické_účty!A7</f>
        <v>2011</v>
      </c>
      <c r="B7">
        <f>[1]syntetické_účty!B7</f>
        <v>411</v>
      </c>
      <c r="C7" t="str">
        <f>[1]syntetické_účty!C7</f>
        <v>Základní kapitál</v>
      </c>
      <c r="D7" s="14">
        <f>[1]syntetické_účty!D7</f>
        <v>0</v>
      </c>
      <c r="E7" s="14">
        <f>[1]syntetické_účty!E7</f>
        <v>500000</v>
      </c>
      <c r="F7" s="14">
        <f>[1]syntetické_účty!F7</f>
        <v>500000</v>
      </c>
      <c r="H7" s="11" t="s">
        <v>882</v>
      </c>
    </row>
    <row r="8" spans="1:10">
      <c r="A8">
        <f>[1]syntetické_účty!A8</f>
        <v>2011</v>
      </c>
      <c r="B8">
        <f>[1]syntetické_účty!B8</f>
        <v>501</v>
      </c>
      <c r="C8" t="str">
        <f>[1]syntetické_účty!C8</f>
        <v>Spotřeba materiálu</v>
      </c>
      <c r="D8" s="14">
        <f>[1]syntetické_účty!D8</f>
        <v>247004.16</v>
      </c>
      <c r="E8" s="14">
        <f>[1]syntetické_účty!E8</f>
        <v>0</v>
      </c>
      <c r="F8" s="14">
        <f>[1]syntetické_účty!F8</f>
        <v>247004.16</v>
      </c>
      <c r="H8" s="11" t="s">
        <v>885</v>
      </c>
      <c r="J8" s="14"/>
    </row>
    <row r="9" spans="1:10">
      <c r="A9">
        <f>[1]syntetické_účty!A9</f>
        <v>2011</v>
      </c>
      <c r="B9">
        <f>[1]syntetické_účty!B9</f>
        <v>511</v>
      </c>
      <c r="C9" t="str">
        <f>[1]syntetické_účty!C9</f>
        <v>Opravy a udržování</v>
      </c>
      <c r="D9" s="14">
        <f>[1]syntetické_účty!D9</f>
        <v>1166.6199999999999</v>
      </c>
      <c r="E9" s="14">
        <f>[1]syntetické_účty!E9</f>
        <v>0</v>
      </c>
      <c r="F9" s="14">
        <f>[1]syntetické_účty!F9</f>
        <v>1166.6199999999999</v>
      </c>
      <c r="H9" s="11" t="s">
        <v>885</v>
      </c>
      <c r="J9" s="14"/>
    </row>
    <row r="10" spans="1:10">
      <c r="A10">
        <f>[1]syntetické_účty!A10</f>
        <v>2011</v>
      </c>
      <c r="B10">
        <f>[1]syntetické_účty!B10</f>
        <v>518</v>
      </c>
      <c r="C10" t="str">
        <f>[1]syntetické_účty!C10</f>
        <v>Ostatní služby</v>
      </c>
      <c r="D10" s="14">
        <f>[1]syntetické_účty!D10</f>
        <v>1667.43</v>
      </c>
      <c r="E10" s="14">
        <f>[1]syntetické_účty!E10</f>
        <v>0</v>
      </c>
      <c r="F10" s="14">
        <f>[1]syntetické_účty!F10</f>
        <v>1667.43</v>
      </c>
      <c r="H10" s="11" t="s">
        <v>885</v>
      </c>
      <c r="J10" s="14"/>
    </row>
    <row r="11" spans="1:10">
      <c r="A11">
        <f>[1]syntetické_účty!A11</f>
        <v>2011</v>
      </c>
      <c r="B11">
        <f>[1]syntetické_účty!B11</f>
        <v>568</v>
      </c>
      <c r="C11" t="str">
        <f>[1]syntetické_účty!C11</f>
        <v>Ostatní finanční náklady</v>
      </c>
      <c r="D11" s="14">
        <f>[1]syntetické_účty!D11</f>
        <v>131</v>
      </c>
      <c r="E11" s="14">
        <f>[1]syntetické_účty!E11</f>
        <v>0</v>
      </c>
      <c r="F11" s="14">
        <f>[1]syntetické_účty!F11</f>
        <v>131</v>
      </c>
      <c r="H11" s="11" t="s">
        <v>885</v>
      </c>
    </row>
    <row r="12" spans="1:10">
      <c r="A12">
        <f>[1]syntetické_účty!A12</f>
        <v>2011</v>
      </c>
      <c r="B12">
        <f>[1]syntetické_účty!B12</f>
        <v>624</v>
      </c>
      <c r="C12" t="str">
        <f>[1]syntetické_účty!C12</f>
        <v>Aktivace dlouhodobého hmotného majetku</v>
      </c>
      <c r="D12" s="14">
        <f>[1]syntetické_účty!D12</f>
        <v>0</v>
      </c>
      <c r="E12" s="14">
        <f>[1]syntetické_účty!E12</f>
        <v>225806</v>
      </c>
      <c r="F12" s="14">
        <f>[1]syntetické_účty!F12</f>
        <v>225806</v>
      </c>
      <c r="H12" s="11" t="s">
        <v>885</v>
      </c>
    </row>
    <row r="13" spans="1:10">
      <c r="A13">
        <f>[1]syntetické_účty!A13</f>
        <v>2011</v>
      </c>
      <c r="B13">
        <f>[1]syntetické_účty!B13</f>
        <v>662</v>
      </c>
      <c r="C13" t="str">
        <f>[1]syntetické_účty!C13</f>
        <v>Úroky</v>
      </c>
      <c r="D13">
        <f>[1]syntetické_účty!D13</f>
        <v>0</v>
      </c>
      <c r="E13">
        <f>[1]syntetické_účty!E13</f>
        <v>59.09</v>
      </c>
      <c r="F13">
        <f>[1]syntetické_účty!F13</f>
        <v>59.09</v>
      </c>
    </row>
    <row r="14" spans="1:10">
      <c r="A14">
        <f>[1]syntetické_účty!A14</f>
        <v>0</v>
      </c>
      <c r="B14">
        <f>[1]syntetické_účty!B14</f>
        <v>0</v>
      </c>
      <c r="C14">
        <f>[1]syntetické_účty!C14</f>
        <v>0</v>
      </c>
      <c r="D14">
        <f>[1]syntetické_účty!D14</f>
        <v>0</v>
      </c>
      <c r="E14">
        <f>[1]syntetické_účty!E14</f>
        <v>0</v>
      </c>
      <c r="F14">
        <f>[1]syntetické_účty!F14</f>
        <v>0</v>
      </c>
    </row>
    <row r="15" spans="1:10">
      <c r="A15">
        <f>[1]syntetické_účty!A15</f>
        <v>0</v>
      </c>
      <c r="B15">
        <f>[1]syntetické_účty!B15</f>
        <v>0</v>
      </c>
      <c r="C15">
        <f>[1]syntetické_účty!C15</f>
        <v>0</v>
      </c>
      <c r="D15">
        <f>[1]syntetické_účty!D15</f>
        <v>0</v>
      </c>
      <c r="E15">
        <f>[1]syntetické_účty!E15</f>
        <v>0</v>
      </c>
      <c r="F15">
        <f>[1]syntetické_účty!F15</f>
        <v>0</v>
      </c>
    </row>
    <row r="16" spans="1:10">
      <c r="A16">
        <f>[1]syntetické_účty!A16</f>
        <v>0</v>
      </c>
      <c r="B16">
        <f>[1]syntetické_účty!B16</f>
        <v>0</v>
      </c>
      <c r="C16">
        <f>[1]syntetické_účty!C16</f>
        <v>0</v>
      </c>
      <c r="D16">
        <f>[1]syntetické_účty!D16</f>
        <v>0</v>
      </c>
      <c r="E16">
        <f>[1]syntetické_účty!E16</f>
        <v>0</v>
      </c>
      <c r="F16">
        <f>[1]syntetické_účty!F16</f>
        <v>0</v>
      </c>
    </row>
    <row r="17" spans="1:6">
      <c r="A17">
        <f>[1]syntetické_účty!A17</f>
        <v>0</v>
      </c>
      <c r="B17">
        <f>[1]syntetické_účty!B17</f>
        <v>0</v>
      </c>
      <c r="C17">
        <f>[1]syntetické_účty!C17</f>
        <v>0</v>
      </c>
      <c r="D17">
        <f>[1]syntetické_účty!D17</f>
        <v>0</v>
      </c>
      <c r="E17">
        <f>[1]syntetické_účty!E17</f>
        <v>0</v>
      </c>
      <c r="F17">
        <f>[1]syntetické_účty!F17</f>
        <v>0</v>
      </c>
    </row>
    <row r="18" spans="1:6">
      <c r="A18">
        <f>[1]syntetické_účty!A18</f>
        <v>0</v>
      </c>
      <c r="B18">
        <f>[1]syntetické_účty!B18</f>
        <v>0</v>
      </c>
      <c r="C18">
        <f>[1]syntetické_účty!C18</f>
        <v>0</v>
      </c>
      <c r="D18">
        <f>[1]syntetické_účty!D18</f>
        <v>0</v>
      </c>
      <c r="E18">
        <f>[1]syntetické_účty!E18</f>
        <v>0</v>
      </c>
      <c r="F18">
        <f>[1]syntetické_účty!F18</f>
        <v>0</v>
      </c>
    </row>
    <row r="19" spans="1:6">
      <c r="A19">
        <f>[1]syntetické_účty!A19</f>
        <v>0</v>
      </c>
      <c r="B19">
        <f>[1]syntetické_účty!B19</f>
        <v>0</v>
      </c>
      <c r="C19">
        <f>[1]syntetické_účty!C19</f>
        <v>0</v>
      </c>
      <c r="D19">
        <f>[1]syntetické_účty!D19</f>
        <v>0</v>
      </c>
      <c r="E19">
        <f>[1]syntetické_účty!E19</f>
        <v>0</v>
      </c>
      <c r="F19">
        <f>[1]syntetické_účty!F19</f>
        <v>0</v>
      </c>
    </row>
    <row r="20" spans="1:6">
      <c r="A20">
        <f>[1]syntetické_účty!A20</f>
        <v>0</v>
      </c>
      <c r="B20">
        <f>[1]syntetické_účty!B20</f>
        <v>0</v>
      </c>
      <c r="C20">
        <f>[1]syntetické_účty!C20</f>
        <v>0</v>
      </c>
      <c r="D20">
        <f>[1]syntetické_účty!D20</f>
        <v>0</v>
      </c>
      <c r="E20">
        <f>[1]syntetické_účty!E20</f>
        <v>0</v>
      </c>
      <c r="F20">
        <f>[1]syntetické_účty!F20</f>
        <v>0</v>
      </c>
    </row>
    <row r="21" spans="1:6">
      <c r="A21">
        <f>[1]syntetické_účty!A21</f>
        <v>0</v>
      </c>
      <c r="B21">
        <f>[1]syntetické_účty!B21</f>
        <v>0</v>
      </c>
      <c r="C21">
        <f>[1]syntetické_účty!C21</f>
        <v>0</v>
      </c>
      <c r="D21">
        <f>[1]syntetické_účty!D21</f>
        <v>0</v>
      </c>
      <c r="E21">
        <f>[1]syntetické_účty!E21</f>
        <v>0</v>
      </c>
      <c r="F21">
        <f>[1]syntetické_účty!F21</f>
        <v>0</v>
      </c>
    </row>
    <row r="22" spans="1:6">
      <c r="A22">
        <f>[1]syntetické_účty!A22</f>
        <v>0</v>
      </c>
      <c r="B22">
        <f>[1]syntetické_účty!B22</f>
        <v>0</v>
      </c>
      <c r="C22">
        <f>[1]syntetické_účty!C22</f>
        <v>0</v>
      </c>
      <c r="D22">
        <f>[1]syntetické_účty!D22</f>
        <v>0</v>
      </c>
      <c r="E22">
        <f>[1]syntetické_účty!E22</f>
        <v>0</v>
      </c>
      <c r="F22">
        <f>[1]syntetické_účty!F22</f>
        <v>0</v>
      </c>
    </row>
    <row r="23" spans="1:6">
      <c r="A23">
        <f>[1]syntetické_účty!A23</f>
        <v>0</v>
      </c>
      <c r="B23">
        <f>[1]syntetické_účty!B23</f>
        <v>0</v>
      </c>
      <c r="C23">
        <f>[1]syntetické_účty!C23</f>
        <v>0</v>
      </c>
      <c r="D23">
        <f>[1]syntetické_účty!D23</f>
        <v>0</v>
      </c>
      <c r="E23">
        <f>[1]syntetické_účty!E23</f>
        <v>0</v>
      </c>
      <c r="F23">
        <f>[1]syntetické_účty!F23</f>
        <v>0</v>
      </c>
    </row>
    <row r="24" spans="1:6">
      <c r="A24">
        <f>[1]syntetické_účty!A24</f>
        <v>0</v>
      </c>
      <c r="B24">
        <f>[1]syntetické_účty!B24</f>
        <v>0</v>
      </c>
      <c r="C24">
        <f>[1]syntetické_účty!C24</f>
        <v>0</v>
      </c>
      <c r="D24">
        <f>[1]syntetické_účty!D24</f>
        <v>0</v>
      </c>
      <c r="E24">
        <f>[1]syntetické_účty!E24</f>
        <v>0</v>
      </c>
      <c r="F24">
        <f>[1]syntetické_účty!F24</f>
        <v>0</v>
      </c>
    </row>
    <row r="25" spans="1:6">
      <c r="A25">
        <f>[1]syntetické_účty!A25</f>
        <v>0</v>
      </c>
      <c r="B25">
        <f>[1]syntetické_účty!B25</f>
        <v>0</v>
      </c>
      <c r="C25">
        <f>[1]syntetické_účty!C25</f>
        <v>0</v>
      </c>
      <c r="D25">
        <f>[1]syntetické_účty!D25</f>
        <v>0</v>
      </c>
      <c r="E25">
        <f>[1]syntetické_účty!E25</f>
        <v>0</v>
      </c>
      <c r="F25">
        <f>[1]syntetické_účty!F25</f>
        <v>0</v>
      </c>
    </row>
    <row r="26" spans="1:6">
      <c r="A26">
        <f>[1]syntetické_účty!A26</f>
        <v>0</v>
      </c>
      <c r="B26">
        <f>[1]syntetické_účty!B26</f>
        <v>0</v>
      </c>
      <c r="C26">
        <f>[1]syntetické_účty!C26</f>
        <v>0</v>
      </c>
      <c r="D26">
        <f>[1]syntetické_účty!D26</f>
        <v>0</v>
      </c>
      <c r="E26">
        <f>[1]syntetické_účty!E26</f>
        <v>0</v>
      </c>
      <c r="F26">
        <f>[1]syntetické_účty!F26</f>
        <v>0</v>
      </c>
    </row>
    <row r="27" spans="1:6">
      <c r="A27">
        <f>[1]syntetické_účty!A27</f>
        <v>0</v>
      </c>
      <c r="B27">
        <f>[1]syntetické_účty!B27</f>
        <v>0</v>
      </c>
      <c r="C27">
        <f>[1]syntetické_účty!C27</f>
        <v>0</v>
      </c>
      <c r="D27">
        <f>[1]syntetické_účty!D27</f>
        <v>0</v>
      </c>
      <c r="E27">
        <f>[1]syntetické_účty!E27</f>
        <v>0</v>
      </c>
      <c r="F27">
        <f>[1]syntetické_účty!F27</f>
        <v>0</v>
      </c>
    </row>
    <row r="28" spans="1:6">
      <c r="A28">
        <f>[1]syntetické_účty!A28</f>
        <v>0</v>
      </c>
      <c r="B28">
        <f>[1]syntetické_účty!B28</f>
        <v>0</v>
      </c>
      <c r="C28">
        <f>[1]syntetické_účty!C28</f>
        <v>0</v>
      </c>
      <c r="D28">
        <f>[1]syntetické_účty!D28</f>
        <v>0</v>
      </c>
      <c r="E28">
        <f>[1]syntetické_účty!E28</f>
        <v>0</v>
      </c>
      <c r="F28">
        <f>[1]syntetické_účty!F28</f>
        <v>0</v>
      </c>
    </row>
    <row r="29" spans="1:6">
      <c r="A29">
        <f>[1]syntetické_účty!A29</f>
        <v>0</v>
      </c>
      <c r="B29">
        <f>[1]syntetické_účty!B29</f>
        <v>0</v>
      </c>
      <c r="C29">
        <f>[1]syntetické_účty!C29</f>
        <v>0</v>
      </c>
      <c r="D29">
        <f>[1]syntetické_účty!D29</f>
        <v>0</v>
      </c>
      <c r="E29">
        <f>[1]syntetické_účty!E29</f>
        <v>0</v>
      </c>
      <c r="F29">
        <f>[1]syntetické_účty!F29</f>
        <v>0</v>
      </c>
    </row>
    <row r="30" spans="1:6">
      <c r="A30">
        <f>[1]syntetické_účty!A30</f>
        <v>0</v>
      </c>
      <c r="B30">
        <f>[1]syntetické_účty!B30</f>
        <v>0</v>
      </c>
      <c r="C30">
        <f>[1]syntetické_účty!C30</f>
        <v>0</v>
      </c>
      <c r="D30">
        <f>[1]syntetické_účty!D30</f>
        <v>0</v>
      </c>
      <c r="E30">
        <f>[1]syntetické_účty!E30</f>
        <v>0</v>
      </c>
      <c r="F30">
        <f>[1]syntetické_účty!F30</f>
        <v>0</v>
      </c>
    </row>
    <row r="31" spans="1:6">
      <c r="A31">
        <f>[1]syntetické_účty!A31</f>
        <v>0</v>
      </c>
      <c r="B31">
        <f>[1]syntetické_účty!B31</f>
        <v>0</v>
      </c>
      <c r="C31">
        <f>[1]syntetické_účty!C31</f>
        <v>0</v>
      </c>
      <c r="D31">
        <f>[1]syntetické_účty!D31</f>
        <v>0</v>
      </c>
      <c r="E31">
        <f>[1]syntetické_účty!E31</f>
        <v>0</v>
      </c>
      <c r="F31">
        <f>[1]syntetické_účty!F31</f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9"/>
  <sheetViews>
    <sheetView workbookViewId="0">
      <selection activeCell="G18" sqref="G18"/>
    </sheetView>
  </sheetViews>
  <sheetFormatPr defaultRowHeight="15"/>
  <cols>
    <col min="4" max="4" width="49" customWidth="1"/>
    <col min="5" max="5" width="19.140625" customWidth="1"/>
    <col min="6" max="6" width="14" bestFit="1" customWidth="1"/>
    <col min="7" max="7" width="28" customWidth="1"/>
  </cols>
  <sheetData>
    <row r="1" spans="1:7" s="7" customFormat="1" ht="15.75">
      <c r="A1" s="15" t="str">
        <f>[1]analytické_účty!A1</f>
        <v>rok</v>
      </c>
      <c r="B1" s="15" t="str">
        <f>[1]analytické_účty!B1</f>
        <v>syntetický účet</v>
      </c>
      <c r="C1" s="15" t="str">
        <f>[1]analytické_účty!C1</f>
        <v>analytický účet</v>
      </c>
      <c r="D1" s="15" t="str">
        <f>[1]analytické_účty!D1</f>
        <v>jméno_účtu</v>
      </c>
      <c r="E1" s="15" t="str">
        <f>[1]analytické_účty!E1</f>
        <v>obrat_má_dáti</v>
      </c>
      <c r="F1" s="15" t="str">
        <f>[1]analytické_účty!F1</f>
        <v>obrat_dal</v>
      </c>
      <c r="G1" s="15" t="str">
        <f>[1]analytické_účty!G1</f>
        <v>konečný_zůstatek</v>
      </c>
    </row>
    <row r="2" spans="1:7">
      <c r="A2">
        <f>[1]analytické_účty!A2</f>
        <v>2011</v>
      </c>
      <c r="B2">
        <f>[1]analytické_účty!B2</f>
        <v>42</v>
      </c>
      <c r="C2">
        <f>[1]analytické_účty!C2</f>
        <v>100</v>
      </c>
      <c r="D2" t="str">
        <f>[1]analytické_účty!D2</f>
        <v>Geodetické práce</v>
      </c>
      <c r="E2" s="14">
        <f>[1]analytické_účty!E2</f>
        <v>4580</v>
      </c>
      <c r="F2" s="14">
        <f>[1]analytické_účty!F2</f>
        <v>0</v>
      </c>
      <c r="G2" s="14">
        <f>[1]analytické_účty!G2</f>
        <v>4580</v>
      </c>
    </row>
    <row r="3" spans="1:7">
      <c r="A3">
        <f>[1]analytické_účty!A3</f>
        <v>2011</v>
      </c>
      <c r="B3">
        <f>[1]analytické_účty!B3</f>
        <v>42</v>
      </c>
      <c r="C3">
        <f>[1]analytické_účty!C3</f>
        <v>110</v>
      </c>
      <c r="D3" t="str">
        <f>[1]analytické_účty!D3</f>
        <v>Exe - za pořízení pozemku</v>
      </c>
      <c r="E3" s="14">
        <f>[1]analytické_účty!E3</f>
        <v>105571</v>
      </c>
      <c r="F3" s="14">
        <f>[1]analytické_účty!F3</f>
        <v>0</v>
      </c>
      <c r="G3" s="14">
        <f>[1]analytické_účty!G3</f>
        <v>105571</v>
      </c>
    </row>
    <row r="4" spans="1:7">
      <c r="A4">
        <f>[1]analytické_účty!A4</f>
        <v>2011</v>
      </c>
      <c r="B4">
        <f>[1]analytické_účty!B4</f>
        <v>42</v>
      </c>
      <c r="C4">
        <f>[1]analytické_účty!C4</f>
        <v>200</v>
      </c>
      <c r="D4" t="str">
        <f>[1]analytické_účty!D4</f>
        <v>stavba Petrovice</v>
      </c>
      <c r="E4" s="14">
        <f>[1]analytické_účty!E4</f>
        <v>225806</v>
      </c>
      <c r="F4" s="14">
        <f>[1]analytické_účty!F4</f>
        <v>0</v>
      </c>
      <c r="G4" s="14">
        <f>[1]analytické_účty!G4</f>
        <v>225806</v>
      </c>
    </row>
    <row r="5" spans="1:7">
      <c r="A5">
        <f>[1]analytické_účty!A5</f>
        <v>2011</v>
      </c>
      <c r="B5">
        <f>[1]analytické_účty!B5</f>
        <v>211</v>
      </c>
      <c r="C5">
        <f>[1]analytické_účty!C5</f>
        <v>1</v>
      </c>
      <c r="D5" t="str">
        <f>[1]analytické_účty!D5</f>
        <v>Pokladna</v>
      </c>
      <c r="E5" s="14">
        <f>[1]analytické_účty!E5</f>
        <v>530000</v>
      </c>
      <c r="F5" s="14">
        <f>[1]analytické_účty!F5</f>
        <v>545915.97</v>
      </c>
      <c r="G5" s="14">
        <f>[1]analytické_účty!G5</f>
        <v>-15915.97</v>
      </c>
    </row>
    <row r="6" spans="1:7">
      <c r="A6">
        <f>[1]analytické_účty!A6</f>
        <v>2011</v>
      </c>
      <c r="B6">
        <f>[1]analytické_účty!B6</f>
        <v>211</v>
      </c>
      <c r="C6">
        <f>[1]analytické_účty!C6</f>
        <v>3</v>
      </c>
      <c r="D6" t="str">
        <f>[1]analytické_účty!D6</f>
        <v>Pokladna Pacov</v>
      </c>
      <c r="E6" s="14">
        <f>[1]analytické_účty!E6</f>
        <v>15899.6</v>
      </c>
      <c r="F6" s="14">
        <f>[1]analytické_účty!F6</f>
        <v>0</v>
      </c>
      <c r="G6" s="14">
        <f>[1]analytické_účty!G6</f>
        <v>15899.6</v>
      </c>
    </row>
    <row r="7" spans="1:7">
      <c r="A7">
        <f>[1]analytické_účty!A7</f>
        <v>2011</v>
      </c>
      <c r="B7">
        <f>[1]analytické_účty!B7</f>
        <v>211</v>
      </c>
      <c r="C7">
        <f>[1]analytické_účty!C7</f>
        <v>4</v>
      </c>
      <c r="D7" t="str">
        <f>[1]analytické_účty!D7</f>
        <v>Pokladna Sk</v>
      </c>
      <c r="E7" s="14">
        <f>[1]analytické_účty!E7</f>
        <v>9901.61</v>
      </c>
      <c r="F7" s="14">
        <f>[1]analytické_účty!F7</f>
        <v>0</v>
      </c>
      <c r="G7" s="14">
        <f>[1]analytické_účty!G7</f>
        <v>9901.61</v>
      </c>
    </row>
    <row r="8" spans="1:7">
      <c r="A8">
        <f>[1]analytické_účty!A8</f>
        <v>2011</v>
      </c>
      <c r="B8">
        <f>[1]analytické_účty!B8</f>
        <v>211</v>
      </c>
      <c r="C8">
        <f>[1]analytické_účty!C8</f>
        <v>5</v>
      </c>
      <c r="D8" t="str">
        <f>[1]analytické_účty!D8</f>
        <v>Pokladna Martin</v>
      </c>
      <c r="E8" s="14">
        <f>[1]analytické_účty!E8</f>
        <v>7649</v>
      </c>
      <c r="F8" s="14">
        <f>[1]analytické_účty!F8</f>
        <v>0</v>
      </c>
      <c r="G8" s="14">
        <f>[1]analytické_účty!G8</f>
        <v>7649</v>
      </c>
    </row>
    <row r="9" spans="1:7">
      <c r="A9">
        <f>[1]analytické_účty!A9</f>
        <v>2011</v>
      </c>
      <c r="B9">
        <f>[1]analytické_účty!B9</f>
        <v>211</v>
      </c>
      <c r="C9">
        <f>[1]analytické_účty!C9</f>
        <v>6</v>
      </c>
      <c r="D9" t="str">
        <f>[1]analytické_účty!D9</f>
        <v>Pokladna moje výdaje</v>
      </c>
      <c r="E9" s="14">
        <f>[1]analytické_účty!E9</f>
        <v>112429</v>
      </c>
      <c r="F9" s="14">
        <f>[1]analytické_účty!F9</f>
        <v>105571</v>
      </c>
      <c r="G9" s="14">
        <f>[1]analytické_účty!G9</f>
        <v>6858</v>
      </c>
    </row>
    <row r="10" spans="1:7">
      <c r="A10">
        <f>[1]analytické_účty!A10</f>
        <v>2011</v>
      </c>
      <c r="B10">
        <f>[1]analytické_účty!B10</f>
        <v>221</v>
      </c>
      <c r="C10">
        <f>[1]analytické_účty!C10</f>
        <v>1</v>
      </c>
      <c r="D10" t="str">
        <f>[1]analytické_účty!D10</f>
        <v>Bankovní účty</v>
      </c>
      <c r="E10" s="14">
        <f>[1]analytické_účty!E10</f>
        <v>349314.09</v>
      </c>
      <c r="F10" s="14">
        <f>[1]analytické_účty!F10</f>
        <v>233075.21</v>
      </c>
      <c r="G10" s="14">
        <f>[1]analytické_účty!G10</f>
        <v>116238.88</v>
      </c>
    </row>
    <row r="11" spans="1:7">
      <c r="A11">
        <f>[1]analytické_účty!A11</f>
        <v>2011</v>
      </c>
      <c r="B11">
        <f>[1]analytické_účty!B11</f>
        <v>321</v>
      </c>
      <c r="C11">
        <f>[1]analytické_účty!C11</f>
        <v>1</v>
      </c>
      <c r="D11" t="str">
        <f>[1]analytické_účty!D11</f>
        <v>Závazky z obchodních vztahů</v>
      </c>
      <c r="E11" s="14">
        <f>[1]analytické_účty!E11</f>
        <v>57065</v>
      </c>
      <c r="F11" s="14">
        <f>[1]analytické_účty!F11</f>
        <v>58511</v>
      </c>
      <c r="G11" s="14">
        <f>[1]analytické_účty!G11</f>
        <v>1446</v>
      </c>
    </row>
    <row r="12" spans="1:7">
      <c r="A12">
        <f>[1]analytické_účty!A12</f>
        <v>2011</v>
      </c>
      <c r="B12">
        <f>[1]analytické_účty!B12</f>
        <v>343</v>
      </c>
      <c r="C12">
        <f>[1]analytické_účty!C12</f>
        <v>10</v>
      </c>
      <c r="D12" t="str">
        <f>[1]analytické_účty!D12</f>
        <v>Daň z přidané hodnoty - snížená sazba 10%</v>
      </c>
      <c r="E12" s="14">
        <f>[1]analytické_účty!E12</f>
        <v>168.71</v>
      </c>
      <c r="F12" s="14">
        <f>[1]analytické_účty!F12</f>
        <v>0</v>
      </c>
      <c r="G12" s="14">
        <f>[1]analytické_účty!G12</f>
        <v>168.71</v>
      </c>
    </row>
    <row r="13" spans="1:7">
      <c r="A13">
        <f>[1]analytické_účty!A13</f>
        <v>2011</v>
      </c>
      <c r="B13">
        <f>[1]analytické_účty!B13</f>
        <v>343</v>
      </c>
      <c r="C13">
        <f>[1]analytické_účty!C13</f>
        <v>20</v>
      </c>
      <c r="D13" t="str">
        <f>[1]analytické_účty!D13</f>
        <v>Daň z přidané hodnoty - základní sazba 20%</v>
      </c>
      <c r="E13" s="14">
        <f>[1]analytické_účty!E13</f>
        <v>49640.05</v>
      </c>
      <c r="F13" s="14">
        <f>[1]analytické_účty!F13</f>
        <v>0</v>
      </c>
      <c r="G13" s="14">
        <f>[1]analytické_účty!G13</f>
        <v>49640.05</v>
      </c>
    </row>
    <row r="14" spans="1:7">
      <c r="A14">
        <f>[1]analytické_účty!A14</f>
        <v>2011</v>
      </c>
      <c r="B14">
        <f>[1]analytické_účty!B14</f>
        <v>343</v>
      </c>
      <c r="C14">
        <f>[1]analytické_účty!C14</f>
        <v>100</v>
      </c>
      <c r="D14" t="str">
        <f>[1]analytické_účty!D14</f>
        <v>Daň z přidané hodnoty - souhrný účet</v>
      </c>
      <c r="E14" s="14">
        <f>[1]analytické_účty!E14</f>
        <v>0</v>
      </c>
      <c r="F14" s="14">
        <f>[1]analytické_účty!F14</f>
        <v>49055</v>
      </c>
      <c r="G14" s="14">
        <f>[1]analytické_účty!G14</f>
        <v>-49055</v>
      </c>
    </row>
    <row r="15" spans="1:7">
      <c r="A15">
        <f>[1]analytické_účty!A15</f>
        <v>2011</v>
      </c>
      <c r="B15">
        <f>[1]analytické_účty!B15</f>
        <v>411</v>
      </c>
      <c r="C15">
        <f>[1]analytické_účty!C15</f>
        <v>1</v>
      </c>
      <c r="D15" t="str">
        <f>[1]analytické_účty!D15</f>
        <v>Základní kapitál</v>
      </c>
      <c r="E15" s="14">
        <f>[1]analytické_účty!E15</f>
        <v>0</v>
      </c>
      <c r="F15" s="14">
        <f>[1]analytické_účty!F15</f>
        <v>500000</v>
      </c>
      <c r="G15" s="14">
        <f>[1]analytické_účty!G15</f>
        <v>500000</v>
      </c>
    </row>
    <row r="16" spans="1:7">
      <c r="A16">
        <f>[1]analytické_účty!A16</f>
        <v>2011</v>
      </c>
      <c r="B16">
        <f>[1]analytické_účty!B16</f>
        <v>501</v>
      </c>
      <c r="C16">
        <f>[1]analytické_účty!C16</f>
        <v>101</v>
      </c>
      <c r="D16" t="str">
        <f>[1]analytické_účty!D16</f>
        <v>Spotřeba materiálu - nářadí Petrovice</v>
      </c>
      <c r="E16" s="14">
        <f>[1]analytické_účty!E16</f>
        <v>10207.18</v>
      </c>
      <c r="F16" s="14">
        <f>[1]analytické_účty!F16</f>
        <v>0</v>
      </c>
      <c r="G16" s="14">
        <f>[1]analytické_účty!G16</f>
        <v>10207.18</v>
      </c>
    </row>
    <row r="17" spans="1:7">
      <c r="A17">
        <f>[1]analytické_účty!A17</f>
        <v>2011</v>
      </c>
      <c r="B17">
        <f>[1]analytické_účty!B17</f>
        <v>501</v>
      </c>
      <c r="C17">
        <f>[1]analytické_účty!C17</f>
        <v>110</v>
      </c>
      <c r="D17" t="str">
        <f>[1]analytické_účty!D17</f>
        <v>Spotřeba materiálu Petrovice</v>
      </c>
      <c r="E17" s="14">
        <f>[1]analytické_účty!E17</f>
        <v>180216.21</v>
      </c>
      <c r="F17" s="14">
        <f>[1]analytické_účty!F17</f>
        <v>0</v>
      </c>
      <c r="G17" s="14">
        <f>[1]analytické_účty!G17</f>
        <v>180216.21</v>
      </c>
    </row>
    <row r="18" spans="1:7">
      <c r="A18">
        <f>[1]analytické_účty!A18</f>
        <v>2011</v>
      </c>
      <c r="B18">
        <f>[1]analytické_účty!B18</f>
        <v>501</v>
      </c>
      <c r="C18">
        <f>[1]analytické_účty!C18</f>
        <v>210</v>
      </c>
      <c r="D18" t="str">
        <f>[1]analytické_účty!D18</f>
        <v>materiál Martin</v>
      </c>
      <c r="E18" s="14">
        <f>[1]analytické_účty!E18</f>
        <v>38238.47</v>
      </c>
      <c r="F18" s="14">
        <f>[1]analytické_účty!F18</f>
        <v>0</v>
      </c>
      <c r="G18" s="14">
        <f>[1]analytické_účty!G18</f>
        <v>38238.47</v>
      </c>
    </row>
    <row r="19" spans="1:7">
      <c r="A19">
        <f>[1]analytické_účty!A19</f>
        <v>2011</v>
      </c>
      <c r="B19">
        <f>[1]analytické_účty!B19</f>
        <v>501</v>
      </c>
      <c r="C19">
        <f>[1]analytické_účty!C19</f>
        <v>302</v>
      </c>
      <c r="D19" t="str">
        <f>[1]analytické_účty!D19</f>
        <v>elektronika Hodonín</v>
      </c>
      <c r="E19" s="14">
        <f>[1]analytické_účty!E19</f>
        <v>1709.1</v>
      </c>
      <c r="F19" s="14">
        <f>[1]analytické_účty!F19</f>
        <v>0</v>
      </c>
      <c r="G19" s="14">
        <f>[1]analytické_účty!G19</f>
        <v>1709.1</v>
      </c>
    </row>
    <row r="20" spans="1:7">
      <c r="A20">
        <f>[1]analytické_účty!A20</f>
        <v>2011</v>
      </c>
      <c r="B20">
        <f>[1]analytické_účty!B20</f>
        <v>501</v>
      </c>
      <c r="C20">
        <f>[1]analytické_účty!C20</f>
        <v>310</v>
      </c>
      <c r="D20" t="str">
        <f>[1]analytické_účty!D20</f>
        <v>materiál Hodonín</v>
      </c>
      <c r="E20" s="14">
        <f>[1]analytické_účty!E20</f>
        <v>1208.96</v>
      </c>
      <c r="F20" s="14">
        <f>[1]analytické_účty!F20</f>
        <v>0</v>
      </c>
      <c r="G20" s="14">
        <f>[1]analytické_účty!G20</f>
        <v>1208.96</v>
      </c>
    </row>
    <row r="21" spans="1:7">
      <c r="A21">
        <f>[1]analytické_účty!A21</f>
        <v>2011</v>
      </c>
      <c r="B21">
        <f>[1]analytické_účty!B21</f>
        <v>501</v>
      </c>
      <c r="C21">
        <f>[1]analytické_účty!C21</f>
        <v>402</v>
      </c>
      <c r="D21" t="str">
        <f>[1]analytické_účty!D21</f>
        <v>drobný majetek na žurky</v>
      </c>
      <c r="E21" s="14">
        <f>[1]analytické_účty!E21</f>
        <v>7083.05</v>
      </c>
      <c r="F21" s="14">
        <f>[1]analytické_účty!F21</f>
        <v>0</v>
      </c>
      <c r="G21" s="14">
        <f>[1]analytické_účty!G21</f>
        <v>7083.05</v>
      </c>
    </row>
    <row r="22" spans="1:7">
      <c r="A22">
        <f>[1]analytické_účty!A22</f>
        <v>2011</v>
      </c>
      <c r="B22">
        <f>[1]analytické_účty!B22</f>
        <v>501</v>
      </c>
      <c r="C22">
        <f>[1]analytické_účty!C22</f>
        <v>410</v>
      </c>
      <c r="D22" t="str">
        <f>[1]analytické_účty!D22</f>
        <v>spotřební materiál zahradní</v>
      </c>
      <c r="E22" s="14">
        <f>[1]analytické_účty!E22</f>
        <v>100</v>
      </c>
      <c r="F22" s="14">
        <f>[1]analytické_účty!F22</f>
        <v>0</v>
      </c>
      <c r="G22" s="14">
        <f>[1]analytické_účty!G22</f>
        <v>100</v>
      </c>
    </row>
    <row r="23" spans="1:7">
      <c r="A23">
        <f>[1]analytické_účty!A23</f>
        <v>2011</v>
      </c>
      <c r="B23">
        <f>[1]analytické_účty!B23</f>
        <v>501</v>
      </c>
      <c r="C23">
        <f>[1]analytické_účty!C23</f>
        <v>500</v>
      </c>
      <c r="D23" t="str">
        <f>[1]analytické_účty!D23</f>
        <v>kancelářský materiál</v>
      </c>
      <c r="E23" s="14">
        <f>[1]analytické_účty!E23</f>
        <v>6553.9</v>
      </c>
      <c r="F23" s="14">
        <f>[1]analytické_účty!F23</f>
        <v>0</v>
      </c>
      <c r="G23" s="14">
        <f>[1]analytické_účty!G23</f>
        <v>6553.9</v>
      </c>
    </row>
    <row r="24" spans="1:7">
      <c r="A24">
        <f>[1]analytické_účty!A24</f>
        <v>2011</v>
      </c>
      <c r="B24">
        <f>[1]analytické_účty!B24</f>
        <v>501</v>
      </c>
      <c r="C24">
        <f>[1]analytické_účty!C24</f>
        <v>700</v>
      </c>
      <c r="D24" t="str">
        <f>[1]analytické_účty!D24</f>
        <v>Palivopvé dřevo</v>
      </c>
      <c r="E24" s="14">
        <f>[1]analytické_účty!E24</f>
        <v>718.19</v>
      </c>
      <c r="F24" s="14">
        <f>[1]analytické_účty!F24</f>
        <v>0</v>
      </c>
      <c r="G24" s="14">
        <f>[1]analytické_účty!G24</f>
        <v>718.19</v>
      </c>
    </row>
    <row r="25" spans="1:7">
      <c r="A25">
        <f>[1]analytické_účty!A25</f>
        <v>2011</v>
      </c>
      <c r="B25">
        <f>[1]analytické_účty!B25</f>
        <v>501</v>
      </c>
      <c r="C25">
        <f>[1]analytické_účty!C25</f>
        <v>900</v>
      </c>
      <c r="D25" t="str">
        <f>[1]analytické_účty!D25</f>
        <v>odborná literatura</v>
      </c>
      <c r="E25" s="14">
        <f>[1]analytické_účty!E25</f>
        <v>969.1</v>
      </c>
      <c r="F25" s="14">
        <f>[1]analytické_účty!F25</f>
        <v>0</v>
      </c>
      <c r="G25" s="14">
        <f>[1]analytické_účty!G25</f>
        <v>969.1</v>
      </c>
    </row>
    <row r="26" spans="1:7">
      <c r="A26">
        <f>[1]analytické_účty!A26</f>
        <v>2011</v>
      </c>
      <c r="B26">
        <f>[1]analytické_účty!B26</f>
        <v>511</v>
      </c>
      <c r="C26">
        <f>[1]analytické_účty!C26</f>
        <v>101</v>
      </c>
      <c r="D26" t="str">
        <f>[1]analytické_účty!D26</f>
        <v>Opravy a udržování</v>
      </c>
      <c r="E26" s="14">
        <f>[1]analytické_účty!E26</f>
        <v>1166.6199999999999</v>
      </c>
      <c r="F26" s="14">
        <f>[1]analytické_účty!F26</f>
        <v>0</v>
      </c>
      <c r="G26" s="14">
        <f>[1]analytické_účty!G26</f>
        <v>1166.6199999999999</v>
      </c>
    </row>
    <row r="27" spans="1:7">
      <c r="A27">
        <f>[1]analytické_účty!A27</f>
        <v>2011</v>
      </c>
      <c r="B27">
        <f>[1]analytické_účty!B27</f>
        <v>518</v>
      </c>
      <c r="C27">
        <f>[1]analytické_účty!C27</f>
        <v>103</v>
      </c>
      <c r="D27" t="str">
        <f>[1]analytické_účty!D27</f>
        <v>pronájem auta Petrovice</v>
      </c>
      <c r="E27" s="14">
        <f>[1]analytické_účty!E27</f>
        <v>429.15</v>
      </c>
      <c r="F27" s="14">
        <f>[1]analytické_účty!F27</f>
        <v>0</v>
      </c>
      <c r="G27" s="14">
        <f>[1]analytické_účty!G27</f>
        <v>429.15</v>
      </c>
    </row>
    <row r="28" spans="1:7">
      <c r="A28">
        <f>[1]analytické_účty!A28</f>
        <v>2011</v>
      </c>
      <c r="B28">
        <f>[1]analytické_účty!B28</f>
        <v>518</v>
      </c>
      <c r="C28">
        <f>[1]analytické_účty!C28</f>
        <v>104</v>
      </c>
      <c r="D28" t="str">
        <f>[1]analytické_účty!D28</f>
        <v>doprava Petrovice</v>
      </c>
      <c r="E28" s="14">
        <f>[1]analytické_účty!E28</f>
        <v>946.63</v>
      </c>
      <c r="F28" s="14">
        <f>[1]analytické_účty!F28</f>
        <v>0</v>
      </c>
      <c r="G28" s="14">
        <f>[1]analytické_účty!G28</f>
        <v>946.63</v>
      </c>
    </row>
    <row r="29" spans="1:7">
      <c r="A29">
        <f>[1]analytické_účty!A29</f>
        <v>2011</v>
      </c>
      <c r="B29">
        <f>[1]analytické_účty!B29</f>
        <v>518</v>
      </c>
      <c r="C29">
        <f>[1]analytické_účty!C29</f>
        <v>301</v>
      </c>
      <c r="D29" t="str">
        <f>[1]analytické_účty!D29</f>
        <v>pronájem nářadí Hodonín</v>
      </c>
      <c r="E29" s="14">
        <f>[1]analytické_účty!E29</f>
        <v>291.64999999999998</v>
      </c>
      <c r="F29" s="14">
        <f>[1]analytické_účty!F29</f>
        <v>0</v>
      </c>
      <c r="G29" s="14">
        <f>[1]analytické_účty!G29</f>
        <v>291.64999999999998</v>
      </c>
    </row>
    <row r="30" spans="1:7">
      <c r="A30">
        <f>[1]analytické_účty!A30</f>
        <v>2011</v>
      </c>
      <c r="B30">
        <f>[1]analytické_účty!B30</f>
        <v>568</v>
      </c>
      <c r="C30">
        <f>[1]analytické_účty!C30</f>
        <v>100</v>
      </c>
      <c r="D30" t="str">
        <f>[1]analytické_účty!D30</f>
        <v>Poplatky z vedení účtu</v>
      </c>
      <c r="E30" s="14">
        <f>[1]analytické_účty!E30</f>
        <v>131</v>
      </c>
      <c r="F30" s="14">
        <f>[1]analytické_účty!F30</f>
        <v>0</v>
      </c>
      <c r="G30" s="14">
        <f>[1]analytické_účty!G30</f>
        <v>131</v>
      </c>
    </row>
    <row r="31" spans="1:7">
      <c r="A31">
        <f>[1]analytické_účty!A31</f>
        <v>2011</v>
      </c>
      <c r="B31">
        <f>[1]analytické_účty!B31</f>
        <v>624</v>
      </c>
      <c r="C31">
        <f>[1]analytické_účty!C31</f>
        <v>1</v>
      </c>
      <c r="D31" t="str">
        <f>[1]analytické_účty!D31</f>
        <v>Aktivace dlouhodobého hmotného majetku</v>
      </c>
      <c r="E31">
        <f>[1]analytické_účty!E31</f>
        <v>0</v>
      </c>
      <c r="F31">
        <f>[1]analytické_účty!F31</f>
        <v>225806</v>
      </c>
      <c r="G31">
        <f>[1]analytické_účty!G31</f>
        <v>225806</v>
      </c>
    </row>
    <row r="32" spans="1:7">
      <c r="A32">
        <f>[1]analytické_účty!A32</f>
        <v>2011</v>
      </c>
      <c r="B32">
        <f>[1]analytické_účty!B32</f>
        <v>662</v>
      </c>
      <c r="C32">
        <f>[1]analytické_účty!C32</f>
        <v>100</v>
      </c>
      <c r="D32" t="str">
        <f>[1]analytické_účty!D32</f>
        <v>Úroky z běžného účtu</v>
      </c>
      <c r="E32">
        <f>[1]analytické_účty!E32</f>
        <v>0</v>
      </c>
      <c r="F32">
        <f>[1]analytické_účty!F32</f>
        <v>59.09</v>
      </c>
      <c r="G32">
        <f>[1]analytické_účty!G32</f>
        <v>59.09</v>
      </c>
    </row>
    <row r="33" spans="1:7">
      <c r="A33">
        <f>[1]analytické_účty!A33</f>
        <v>0</v>
      </c>
      <c r="B33">
        <f>[1]analytické_účty!B33</f>
        <v>0</v>
      </c>
      <c r="C33">
        <f>[1]analytické_účty!C33</f>
        <v>0</v>
      </c>
      <c r="D33">
        <f>[1]analytické_účty!D33</f>
        <v>0</v>
      </c>
      <c r="E33">
        <f>[1]analytické_účty!E33</f>
        <v>0</v>
      </c>
      <c r="F33">
        <f>[1]analytické_účty!F33</f>
        <v>0</v>
      </c>
      <c r="G33">
        <f>[1]analytické_účty!G33</f>
        <v>0</v>
      </c>
    </row>
    <row r="34" spans="1:7">
      <c r="A34">
        <f>[1]analytické_účty!A34</f>
        <v>0</v>
      </c>
      <c r="B34">
        <f>[1]analytické_účty!B34</f>
        <v>0</v>
      </c>
      <c r="C34">
        <f>[1]analytické_účty!C34</f>
        <v>0</v>
      </c>
      <c r="D34">
        <f>[1]analytické_účty!D34</f>
        <v>0</v>
      </c>
      <c r="E34">
        <f>[1]analytické_účty!E34</f>
        <v>0</v>
      </c>
      <c r="F34">
        <f>[1]analytické_účty!F34</f>
        <v>0</v>
      </c>
      <c r="G34">
        <f>[1]analytické_účty!G34</f>
        <v>0</v>
      </c>
    </row>
    <row r="35" spans="1:7">
      <c r="A35">
        <f>[1]analytické_účty!A35</f>
        <v>0</v>
      </c>
      <c r="B35">
        <f>[1]analytické_účty!B35</f>
        <v>0</v>
      </c>
      <c r="C35">
        <f>[1]analytické_účty!C35</f>
        <v>0</v>
      </c>
      <c r="D35">
        <f>[1]analytické_účty!D35</f>
        <v>0</v>
      </c>
      <c r="E35">
        <f>[1]analytické_účty!E35</f>
        <v>0</v>
      </c>
      <c r="F35">
        <f>[1]analytické_účty!F35</f>
        <v>0</v>
      </c>
      <c r="G35">
        <f>[1]analytické_účty!G35</f>
        <v>0</v>
      </c>
    </row>
    <row r="36" spans="1:7">
      <c r="A36">
        <f>[1]analytické_účty!A36</f>
        <v>0</v>
      </c>
      <c r="B36">
        <f>[1]analytické_účty!B36</f>
        <v>0</v>
      </c>
      <c r="C36">
        <f>[1]analytické_účty!C36</f>
        <v>0</v>
      </c>
      <c r="D36">
        <f>[1]analytické_účty!D36</f>
        <v>0</v>
      </c>
      <c r="E36">
        <f>[1]analytické_účty!E36</f>
        <v>0</v>
      </c>
      <c r="F36">
        <f>[1]analytické_účty!F36</f>
        <v>0</v>
      </c>
      <c r="G36">
        <f>[1]analytické_účty!G36</f>
        <v>0</v>
      </c>
    </row>
    <row r="37" spans="1:7">
      <c r="A37">
        <f>[1]analytické_účty!A37</f>
        <v>0</v>
      </c>
      <c r="B37">
        <f>[1]analytické_účty!B37</f>
        <v>0</v>
      </c>
      <c r="C37">
        <f>[1]analytické_účty!C37</f>
        <v>0</v>
      </c>
      <c r="D37">
        <f>[1]analytické_účty!D37</f>
        <v>0</v>
      </c>
      <c r="E37">
        <f>[1]analytické_účty!E37</f>
        <v>0</v>
      </c>
      <c r="F37">
        <f>[1]analytické_účty!F37</f>
        <v>0</v>
      </c>
      <c r="G37">
        <f>[1]analytické_účty!G37</f>
        <v>0</v>
      </c>
    </row>
    <row r="38" spans="1:7">
      <c r="A38">
        <f>[1]analytické_účty!A38</f>
        <v>0</v>
      </c>
      <c r="B38">
        <f>[1]analytické_účty!B38</f>
        <v>0</v>
      </c>
      <c r="C38">
        <f>[1]analytické_účty!C38</f>
        <v>0</v>
      </c>
      <c r="D38">
        <f>[1]analytické_účty!D38</f>
        <v>0</v>
      </c>
      <c r="E38">
        <f>[1]analytické_účty!E38</f>
        <v>0</v>
      </c>
      <c r="F38">
        <f>[1]analytické_účty!F38</f>
        <v>0</v>
      </c>
      <c r="G38">
        <f>[1]analytické_účty!G38</f>
        <v>0</v>
      </c>
    </row>
    <row r="39" spans="1:7">
      <c r="A39">
        <f>[1]analytické_účty!A39</f>
        <v>0</v>
      </c>
      <c r="B39">
        <f>[1]analytické_účty!B39</f>
        <v>0</v>
      </c>
      <c r="C39">
        <f>[1]analytické_účty!C39</f>
        <v>0</v>
      </c>
      <c r="D39">
        <f>[1]analytické_účty!D39</f>
        <v>0</v>
      </c>
      <c r="E39">
        <f>[1]analytické_účty!E39</f>
        <v>0</v>
      </c>
      <c r="F39">
        <f>[1]analytické_účty!F39</f>
        <v>0</v>
      </c>
      <c r="G39">
        <f>[1]analytické_účty!G39</f>
        <v>0</v>
      </c>
    </row>
    <row r="40" spans="1:7">
      <c r="A40">
        <f>[1]analytické_účty!A40</f>
        <v>0</v>
      </c>
      <c r="B40">
        <f>[1]analytické_účty!B40</f>
        <v>0</v>
      </c>
      <c r="C40">
        <f>[1]analytické_účty!C40</f>
        <v>0</v>
      </c>
      <c r="D40">
        <f>[1]analytické_účty!D40</f>
        <v>0</v>
      </c>
      <c r="E40">
        <f>[1]analytické_účty!E40</f>
        <v>0</v>
      </c>
      <c r="F40">
        <f>[1]analytické_účty!F40</f>
        <v>0</v>
      </c>
      <c r="G40">
        <f>[1]analytické_účty!G40</f>
        <v>0</v>
      </c>
    </row>
    <row r="41" spans="1:7">
      <c r="A41">
        <f>[1]analytické_účty!A41</f>
        <v>0</v>
      </c>
      <c r="B41">
        <f>[1]analytické_účty!B41</f>
        <v>0</v>
      </c>
      <c r="C41">
        <f>[1]analytické_účty!C41</f>
        <v>0</v>
      </c>
      <c r="D41">
        <f>[1]analytické_účty!D41</f>
        <v>0</v>
      </c>
      <c r="E41">
        <f>[1]analytické_účty!E41</f>
        <v>0</v>
      </c>
      <c r="F41">
        <f>[1]analytické_účty!F41</f>
        <v>0</v>
      </c>
      <c r="G41">
        <f>[1]analytické_účty!G41</f>
        <v>0</v>
      </c>
    </row>
    <row r="42" spans="1:7">
      <c r="A42">
        <f>[1]analytické_účty!A42</f>
        <v>0</v>
      </c>
      <c r="B42">
        <f>[1]analytické_účty!B42</f>
        <v>0</v>
      </c>
      <c r="C42">
        <f>[1]analytické_účty!C42</f>
        <v>0</v>
      </c>
      <c r="D42">
        <f>[1]analytické_účty!D42</f>
        <v>0</v>
      </c>
      <c r="E42">
        <f>[1]analytické_účty!E42</f>
        <v>0</v>
      </c>
      <c r="F42">
        <f>[1]analytické_účty!F42</f>
        <v>0</v>
      </c>
      <c r="G42">
        <f>[1]analytické_účty!G42</f>
        <v>0</v>
      </c>
    </row>
    <row r="43" spans="1:7">
      <c r="A43">
        <f>[1]analytické_účty!A43</f>
        <v>0</v>
      </c>
      <c r="B43">
        <f>[1]analytické_účty!B43</f>
        <v>0</v>
      </c>
      <c r="C43">
        <f>[1]analytické_účty!C43</f>
        <v>0</v>
      </c>
      <c r="D43">
        <f>[1]analytické_účty!D43</f>
        <v>0</v>
      </c>
      <c r="E43">
        <f>[1]analytické_účty!E43</f>
        <v>0</v>
      </c>
      <c r="F43">
        <f>[1]analytické_účty!F43</f>
        <v>0</v>
      </c>
      <c r="G43">
        <f>[1]analytické_účty!G43</f>
        <v>0</v>
      </c>
    </row>
    <row r="44" spans="1:7">
      <c r="A44">
        <f>[1]analytické_účty!A44</f>
        <v>0</v>
      </c>
      <c r="B44">
        <f>[1]analytické_účty!B44</f>
        <v>0</v>
      </c>
      <c r="C44">
        <f>[1]analytické_účty!C44</f>
        <v>0</v>
      </c>
      <c r="D44">
        <f>[1]analytické_účty!D44</f>
        <v>0</v>
      </c>
      <c r="E44">
        <f>[1]analytické_účty!E44</f>
        <v>0</v>
      </c>
      <c r="F44">
        <f>[1]analytické_účty!F44</f>
        <v>0</v>
      </c>
      <c r="G44">
        <f>[1]analytické_účty!G44</f>
        <v>0</v>
      </c>
    </row>
    <row r="45" spans="1:7">
      <c r="A45">
        <f>[1]analytické_účty!A45</f>
        <v>0</v>
      </c>
      <c r="B45">
        <f>[1]analytické_účty!B45</f>
        <v>0</v>
      </c>
      <c r="C45">
        <f>[1]analytické_účty!C45</f>
        <v>0</v>
      </c>
      <c r="D45">
        <f>[1]analytické_účty!D45</f>
        <v>0</v>
      </c>
      <c r="E45">
        <f>[1]analytické_účty!E45</f>
        <v>0</v>
      </c>
      <c r="F45">
        <f>[1]analytické_účty!F45</f>
        <v>0</v>
      </c>
      <c r="G45">
        <f>[1]analytické_účty!G45</f>
        <v>0</v>
      </c>
    </row>
    <row r="46" spans="1:7">
      <c r="A46">
        <f>[1]analytické_účty!A46</f>
        <v>0</v>
      </c>
      <c r="B46">
        <f>[1]analytické_účty!B46</f>
        <v>0</v>
      </c>
      <c r="C46">
        <f>[1]analytické_účty!C46</f>
        <v>0</v>
      </c>
      <c r="D46">
        <f>[1]analytické_účty!D46</f>
        <v>0</v>
      </c>
      <c r="E46">
        <f>[1]analytické_účty!E46</f>
        <v>0</v>
      </c>
      <c r="F46">
        <f>[1]analytické_účty!F46</f>
        <v>0</v>
      </c>
      <c r="G46">
        <f>[1]analytické_účty!G46</f>
        <v>0</v>
      </c>
    </row>
    <row r="47" spans="1:7">
      <c r="A47">
        <f>[1]analytické_účty!A47</f>
        <v>0</v>
      </c>
      <c r="B47">
        <f>[1]analytické_účty!B47</f>
        <v>0</v>
      </c>
      <c r="C47">
        <f>[1]analytické_účty!C47</f>
        <v>0</v>
      </c>
      <c r="D47">
        <f>[1]analytické_účty!D47</f>
        <v>0</v>
      </c>
      <c r="E47">
        <f>[1]analytické_účty!E47</f>
        <v>0</v>
      </c>
      <c r="F47">
        <f>[1]analytické_účty!F47</f>
        <v>0</v>
      </c>
      <c r="G47">
        <f>[1]analytické_účty!G47</f>
        <v>0</v>
      </c>
    </row>
    <row r="48" spans="1:7">
      <c r="A48">
        <f>[1]analytické_účty!A48</f>
        <v>0</v>
      </c>
      <c r="B48">
        <f>[1]analytické_účty!B48</f>
        <v>0</v>
      </c>
      <c r="C48">
        <f>[1]analytické_účty!C48</f>
        <v>0</v>
      </c>
      <c r="D48">
        <f>[1]analytické_účty!D48</f>
        <v>0</v>
      </c>
      <c r="E48">
        <f>[1]analytické_účty!E48</f>
        <v>0</v>
      </c>
      <c r="F48">
        <f>[1]analytické_účty!F48</f>
        <v>0</v>
      </c>
      <c r="G48">
        <f>[1]analytické_účty!G48</f>
        <v>0</v>
      </c>
    </row>
    <row r="49" spans="1:7">
      <c r="A49">
        <f>[1]analytické_účty!A49</f>
        <v>0</v>
      </c>
      <c r="B49">
        <f>[1]analytické_účty!B49</f>
        <v>0</v>
      </c>
      <c r="C49">
        <f>[1]analytické_účty!C49</f>
        <v>0</v>
      </c>
      <c r="D49">
        <f>[1]analytické_účty!D49</f>
        <v>0</v>
      </c>
      <c r="E49">
        <f>[1]analytické_účty!E49</f>
        <v>0</v>
      </c>
      <c r="F49">
        <f>[1]analytické_účty!F49</f>
        <v>0</v>
      </c>
      <c r="G49">
        <f>[1]analytické_účty!G49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2"/>
  <sheetViews>
    <sheetView workbookViewId="0">
      <pane ySplit="2" topLeftCell="A264" activePane="bottomLeft" state="frozen"/>
      <selection pane="bottomLeft" activeCell="D289" sqref="D289"/>
    </sheetView>
  </sheetViews>
  <sheetFormatPr defaultRowHeight="15"/>
  <cols>
    <col min="1" max="1" width="85.140625" customWidth="1"/>
    <col min="2" max="2" width="37.7109375" customWidth="1"/>
    <col min="3" max="3" width="13.140625" customWidth="1"/>
  </cols>
  <sheetData>
    <row r="1" spans="1:4">
      <c r="A1" s="44" t="s">
        <v>0</v>
      </c>
      <c r="B1" s="44" t="s">
        <v>1</v>
      </c>
      <c r="C1" s="44"/>
      <c r="D1" s="44" t="s">
        <v>2</v>
      </c>
    </row>
    <row r="2" spans="1:4">
      <c r="A2" s="44"/>
      <c r="B2" s="1" t="s">
        <v>3</v>
      </c>
      <c r="C2" s="1" t="s">
        <v>4</v>
      </c>
      <c r="D2" s="44"/>
    </row>
    <row r="3" spans="1:4">
      <c r="A3" s="43" t="s">
        <v>5</v>
      </c>
      <c r="B3" s="43"/>
      <c r="C3" s="43"/>
      <c r="D3" s="43"/>
    </row>
    <row r="4" spans="1:4">
      <c r="A4" s="2" t="s">
        <v>6</v>
      </c>
      <c r="B4" s="3"/>
      <c r="C4" s="3"/>
      <c r="D4" s="3"/>
    </row>
    <row r="5" spans="1:4">
      <c r="A5" s="2" t="s">
        <v>7</v>
      </c>
      <c r="B5" s="3" t="s">
        <v>8</v>
      </c>
      <c r="C5" s="3"/>
      <c r="D5" s="3"/>
    </row>
    <row r="6" spans="1:4">
      <c r="A6" s="2" t="s">
        <v>9</v>
      </c>
      <c r="B6" s="3" t="s">
        <v>10</v>
      </c>
      <c r="C6" s="3"/>
      <c r="D6" s="3"/>
    </row>
    <row r="7" spans="1:4">
      <c r="A7" s="2" t="s">
        <v>11</v>
      </c>
      <c r="B7" s="3" t="s">
        <v>12</v>
      </c>
      <c r="C7" s="3"/>
      <c r="D7" s="3"/>
    </row>
    <row r="8" spans="1:4">
      <c r="A8" s="2" t="s">
        <v>13</v>
      </c>
      <c r="B8" s="3" t="s">
        <v>14</v>
      </c>
      <c r="C8" s="3"/>
      <c r="D8" s="3"/>
    </row>
    <row r="9" spans="1:4">
      <c r="A9" s="2" t="s">
        <v>15</v>
      </c>
      <c r="B9" s="3" t="s">
        <v>16</v>
      </c>
      <c r="C9" s="3"/>
      <c r="D9" s="3"/>
    </row>
    <row r="10" spans="1:4">
      <c r="A10" s="2" t="s">
        <v>17</v>
      </c>
      <c r="B10" s="3" t="s">
        <v>18</v>
      </c>
      <c r="C10" s="3"/>
      <c r="D10" s="3"/>
    </row>
    <row r="11" spans="1:4">
      <c r="A11" s="2" t="s">
        <v>19</v>
      </c>
      <c r="B11" s="3"/>
      <c r="C11" s="3"/>
      <c r="D11" s="3"/>
    </row>
    <row r="12" spans="1:4">
      <c r="A12" s="2" t="s">
        <v>20</v>
      </c>
      <c r="B12" s="3" t="s">
        <v>21</v>
      </c>
      <c r="C12" s="3"/>
      <c r="D12" s="3"/>
    </row>
    <row r="13" spans="1:4">
      <c r="A13" s="2" t="s">
        <v>22</v>
      </c>
      <c r="B13" s="3" t="s">
        <v>23</v>
      </c>
      <c r="C13" s="3"/>
      <c r="D13" s="3"/>
    </row>
    <row r="14" spans="1:4">
      <c r="A14" s="2" t="s">
        <v>24</v>
      </c>
      <c r="B14" s="3" t="s">
        <v>25</v>
      </c>
      <c r="C14" s="3"/>
      <c r="D14" s="3"/>
    </row>
    <row r="15" spans="1:4">
      <c r="A15" s="2" t="s">
        <v>26</v>
      </c>
      <c r="B15" s="3" t="s">
        <v>27</v>
      </c>
      <c r="C15" s="3"/>
      <c r="D15" s="3"/>
    </row>
    <row r="16" spans="1:4">
      <c r="A16" s="2" t="s">
        <v>28</v>
      </c>
      <c r="B16" s="3" t="s">
        <v>29</v>
      </c>
      <c r="C16" s="3"/>
      <c r="D16" s="3"/>
    </row>
    <row r="17" spans="1:4">
      <c r="A17" s="2" t="s">
        <v>30</v>
      </c>
      <c r="B17" s="3"/>
      <c r="C17" s="3"/>
      <c r="D17" s="3"/>
    </row>
    <row r="18" spans="1:4">
      <c r="A18" s="2" t="s">
        <v>31</v>
      </c>
      <c r="B18" s="3" t="s">
        <v>32</v>
      </c>
      <c r="C18" s="3"/>
      <c r="D18" s="3"/>
    </row>
    <row r="19" spans="1:4">
      <c r="A19" s="2" t="s">
        <v>33</v>
      </c>
      <c r="B19" s="3" t="s">
        <v>29</v>
      </c>
      <c r="C19" s="3"/>
      <c r="D19" s="3"/>
    </row>
    <row r="20" spans="1:4" ht="30">
      <c r="A20" s="2" t="s">
        <v>34</v>
      </c>
      <c r="B20" s="3"/>
      <c r="C20" s="3"/>
      <c r="D20" s="3"/>
    </row>
    <row r="21" spans="1:4">
      <c r="A21" s="2" t="s">
        <v>35</v>
      </c>
      <c r="B21" s="3" t="s">
        <v>36</v>
      </c>
      <c r="C21" s="3"/>
      <c r="D21" s="3"/>
    </row>
    <row r="22" spans="1:4">
      <c r="A22" s="2" t="s">
        <v>37</v>
      </c>
      <c r="B22" s="3" t="s">
        <v>38</v>
      </c>
      <c r="C22" s="3"/>
      <c r="D22" s="3"/>
    </row>
    <row r="23" spans="1:4">
      <c r="A23" s="2" t="s">
        <v>39</v>
      </c>
      <c r="B23" s="3" t="s">
        <v>40</v>
      </c>
      <c r="C23" s="3"/>
      <c r="D23" s="3"/>
    </row>
    <row r="24" spans="1:4">
      <c r="A24" s="2" t="s">
        <v>41</v>
      </c>
      <c r="B24" s="3"/>
      <c r="C24" s="3"/>
      <c r="D24" s="3"/>
    </row>
    <row r="25" spans="1:4">
      <c r="A25" s="2" t="s">
        <v>42</v>
      </c>
      <c r="B25" s="3" t="s">
        <v>43</v>
      </c>
      <c r="C25" s="3"/>
      <c r="D25" s="3"/>
    </row>
    <row r="26" spans="1:4">
      <c r="A26" s="2" t="s">
        <v>44</v>
      </c>
      <c r="B26" s="3" t="s">
        <v>45</v>
      </c>
      <c r="C26" s="3"/>
      <c r="D26" s="3"/>
    </row>
    <row r="27" spans="1:4">
      <c r="A27" s="2" t="s">
        <v>46</v>
      </c>
      <c r="B27" s="3" t="s">
        <v>47</v>
      </c>
      <c r="C27" s="3"/>
      <c r="D27" s="3"/>
    </row>
    <row r="28" spans="1:4">
      <c r="A28" s="2" t="s">
        <v>48</v>
      </c>
      <c r="B28" s="3"/>
      <c r="C28" s="3"/>
      <c r="D28" s="3"/>
    </row>
    <row r="29" spans="1:4">
      <c r="A29" s="2" t="s">
        <v>49</v>
      </c>
      <c r="B29" s="3" t="s">
        <v>50</v>
      </c>
      <c r="C29" s="3"/>
      <c r="D29" s="3"/>
    </row>
    <row r="30" spans="1:4">
      <c r="A30" s="2" t="s">
        <v>51</v>
      </c>
      <c r="B30" s="3" t="s">
        <v>52</v>
      </c>
      <c r="C30" s="3"/>
      <c r="D30" s="3"/>
    </row>
    <row r="31" spans="1:4">
      <c r="A31" s="2" t="s">
        <v>53</v>
      </c>
      <c r="B31" s="3" t="s">
        <v>54</v>
      </c>
      <c r="C31" s="3"/>
      <c r="D31" s="3"/>
    </row>
    <row r="32" spans="1:4">
      <c r="A32" s="2" t="s">
        <v>55</v>
      </c>
      <c r="B32" s="3" t="s">
        <v>54</v>
      </c>
      <c r="C32" s="3"/>
      <c r="D32" s="3"/>
    </row>
    <row r="33" spans="1:4">
      <c r="A33" s="2" t="s">
        <v>870</v>
      </c>
      <c r="B33" s="3" t="s">
        <v>56</v>
      </c>
      <c r="C33" s="3"/>
      <c r="D33" s="3"/>
    </row>
    <row r="34" spans="1:4">
      <c r="A34" s="2" t="s">
        <v>57</v>
      </c>
      <c r="B34" s="3" t="s">
        <v>58</v>
      </c>
      <c r="C34" s="3"/>
      <c r="D34" s="3"/>
    </row>
    <row r="35" spans="1:4">
      <c r="A35" s="2" t="s">
        <v>59</v>
      </c>
      <c r="B35" s="3" t="s">
        <v>58</v>
      </c>
      <c r="C35" s="3"/>
      <c r="D35" s="3"/>
    </row>
    <row r="36" spans="1:4">
      <c r="A36" s="2" t="s">
        <v>60</v>
      </c>
      <c r="B36" s="3"/>
      <c r="C36" s="3"/>
      <c r="D36" s="3"/>
    </row>
    <row r="37" spans="1:4">
      <c r="A37" s="2" t="s">
        <v>61</v>
      </c>
      <c r="B37" s="3" t="s">
        <v>62</v>
      </c>
      <c r="C37" s="3"/>
      <c r="D37" s="3"/>
    </row>
    <row r="38" spans="1:4">
      <c r="A38" s="2" t="s">
        <v>63</v>
      </c>
      <c r="B38" s="3" t="s">
        <v>64</v>
      </c>
      <c r="C38" s="3"/>
      <c r="D38" s="3"/>
    </row>
    <row r="39" spans="1:4">
      <c r="A39" s="2" t="s">
        <v>65</v>
      </c>
      <c r="B39" s="3" t="s">
        <v>66</v>
      </c>
      <c r="C39" s="3"/>
      <c r="D39" s="3"/>
    </row>
    <row r="40" spans="1:4">
      <c r="A40" s="2" t="s">
        <v>67</v>
      </c>
      <c r="B40" s="3" t="s">
        <v>68</v>
      </c>
      <c r="C40" s="3"/>
      <c r="D40" s="3"/>
    </row>
    <row r="41" spans="1:4">
      <c r="A41" s="2" t="s">
        <v>69</v>
      </c>
      <c r="B41" s="3" t="s">
        <v>70</v>
      </c>
      <c r="C41" s="3"/>
      <c r="D41" s="3"/>
    </row>
    <row r="42" spans="1:4">
      <c r="A42" s="2" t="s">
        <v>71</v>
      </c>
      <c r="B42" s="3" t="s">
        <v>72</v>
      </c>
      <c r="C42" s="3"/>
      <c r="D42" s="3"/>
    </row>
    <row r="43" spans="1:4">
      <c r="A43" s="2" t="s">
        <v>73</v>
      </c>
      <c r="B43" s="3"/>
      <c r="C43" s="3"/>
      <c r="D43" s="3"/>
    </row>
    <row r="44" spans="1:4">
      <c r="A44" s="2" t="s">
        <v>74</v>
      </c>
      <c r="B44" s="3" t="s">
        <v>75</v>
      </c>
      <c r="C44" s="3"/>
      <c r="D44" s="3"/>
    </row>
    <row r="45" spans="1:4">
      <c r="A45" s="2" t="s">
        <v>76</v>
      </c>
      <c r="B45" s="3" t="s">
        <v>77</v>
      </c>
      <c r="C45" s="3"/>
      <c r="D45" s="3"/>
    </row>
    <row r="46" spans="1:4">
      <c r="A46" s="2" t="s">
        <v>78</v>
      </c>
      <c r="B46" s="3" t="s">
        <v>79</v>
      </c>
      <c r="C46" s="3"/>
      <c r="D46" s="3"/>
    </row>
    <row r="47" spans="1:4">
      <c r="A47" s="2" t="s">
        <v>80</v>
      </c>
      <c r="B47" s="3" t="s">
        <v>81</v>
      </c>
      <c r="C47" s="3"/>
      <c r="D47" s="3"/>
    </row>
    <row r="48" spans="1:4">
      <c r="A48" s="2" t="s">
        <v>82</v>
      </c>
      <c r="B48" s="3" t="s">
        <v>83</v>
      </c>
      <c r="C48" s="3"/>
      <c r="D48" s="3"/>
    </row>
    <row r="49" spans="1:4">
      <c r="A49" s="2" t="s">
        <v>84</v>
      </c>
      <c r="B49" s="3"/>
      <c r="C49" s="3"/>
      <c r="D49" s="3"/>
    </row>
    <row r="50" spans="1:4">
      <c r="A50" s="2" t="s">
        <v>85</v>
      </c>
      <c r="B50" s="19" t="s">
        <v>86</v>
      </c>
      <c r="C50" s="3"/>
      <c r="D50" s="3"/>
    </row>
    <row r="51" spans="1:4">
      <c r="A51" s="2" t="s">
        <v>87</v>
      </c>
      <c r="B51" s="19" t="s">
        <v>88</v>
      </c>
      <c r="C51" s="3"/>
      <c r="D51" s="3"/>
    </row>
    <row r="52" spans="1:4">
      <c r="A52" s="2" t="s">
        <v>89</v>
      </c>
      <c r="B52" s="3" t="s">
        <v>90</v>
      </c>
      <c r="C52" s="3"/>
      <c r="D52" s="3"/>
    </row>
    <row r="53" spans="1:4">
      <c r="A53" s="2" t="s">
        <v>91</v>
      </c>
      <c r="B53" s="3" t="s">
        <v>92</v>
      </c>
      <c r="C53" s="3"/>
      <c r="D53" s="3"/>
    </row>
    <row r="54" spans="1:4">
      <c r="A54" s="2" t="s">
        <v>93</v>
      </c>
      <c r="B54" s="19" t="s">
        <v>94</v>
      </c>
      <c r="C54" s="3"/>
      <c r="D54" s="3"/>
    </row>
    <row r="55" spans="1:4">
      <c r="A55" s="2" t="s">
        <v>95</v>
      </c>
      <c r="B55" s="19" t="s">
        <v>96</v>
      </c>
      <c r="C55" s="3"/>
      <c r="D55" s="3"/>
    </row>
    <row r="56" spans="1:4">
      <c r="A56" s="2" t="s">
        <v>97</v>
      </c>
      <c r="B56" s="3" t="s">
        <v>98</v>
      </c>
      <c r="C56" s="3"/>
      <c r="D56" s="3"/>
    </row>
    <row r="57" spans="1:4">
      <c r="A57" s="2" t="s">
        <v>99</v>
      </c>
      <c r="B57" s="3" t="s">
        <v>100</v>
      </c>
      <c r="C57" s="3"/>
      <c r="D57" s="3"/>
    </row>
    <row r="58" spans="1:4">
      <c r="A58" s="43" t="s">
        <v>101</v>
      </c>
      <c r="B58" s="43"/>
      <c r="C58" s="43"/>
      <c r="D58" s="43"/>
    </row>
    <row r="59" spans="1:4">
      <c r="A59" s="2" t="s">
        <v>102</v>
      </c>
      <c r="B59" s="3"/>
      <c r="C59" s="3"/>
      <c r="D59" s="3"/>
    </row>
    <row r="60" spans="1:4">
      <c r="A60" s="2" t="s">
        <v>103</v>
      </c>
      <c r="B60" s="3" t="s">
        <v>104</v>
      </c>
      <c r="C60" s="3"/>
      <c r="D60" s="3"/>
    </row>
    <row r="61" spans="1:4">
      <c r="A61" s="2" t="s">
        <v>105</v>
      </c>
      <c r="B61" s="3" t="s">
        <v>104</v>
      </c>
      <c r="C61" s="3"/>
      <c r="D61" s="3"/>
    </row>
    <row r="62" spans="1:4">
      <c r="A62" s="2" t="s">
        <v>106</v>
      </c>
      <c r="B62" s="3" t="s">
        <v>107</v>
      </c>
      <c r="C62" s="3"/>
      <c r="D62" s="3"/>
    </row>
    <row r="63" spans="1:4">
      <c r="A63" s="2" t="s">
        <v>108</v>
      </c>
      <c r="B63" s="3" t="s">
        <v>104</v>
      </c>
      <c r="C63" s="3"/>
      <c r="D63" s="3"/>
    </row>
    <row r="64" spans="1:4">
      <c r="A64" s="2" t="s">
        <v>109</v>
      </c>
      <c r="B64" s="3"/>
      <c r="C64" s="3"/>
      <c r="D64" s="3"/>
    </row>
    <row r="65" spans="1:4">
      <c r="A65" s="2" t="s">
        <v>110</v>
      </c>
      <c r="B65" s="3" t="s">
        <v>111</v>
      </c>
      <c r="C65" s="3"/>
      <c r="D65" s="3"/>
    </row>
    <row r="66" spans="1:4">
      <c r="A66" s="2" t="s">
        <v>112</v>
      </c>
      <c r="B66" s="3" t="s">
        <v>111</v>
      </c>
      <c r="C66" s="3"/>
      <c r="D66" s="3"/>
    </row>
    <row r="67" spans="1:4">
      <c r="A67" s="2" t="s">
        <v>113</v>
      </c>
      <c r="B67" s="3" t="s">
        <v>114</v>
      </c>
      <c r="C67" s="3"/>
      <c r="D67" s="3"/>
    </row>
    <row r="68" spans="1:4">
      <c r="A68" s="2" t="s">
        <v>115</v>
      </c>
      <c r="B68" s="3" t="s">
        <v>116</v>
      </c>
      <c r="C68" s="3"/>
      <c r="D68" s="3"/>
    </row>
    <row r="69" spans="1:4">
      <c r="A69" s="2" t="s">
        <v>117</v>
      </c>
      <c r="B69" s="3" t="s">
        <v>107</v>
      </c>
      <c r="C69" s="3"/>
      <c r="D69" s="3"/>
    </row>
    <row r="70" spans="1:4">
      <c r="A70" s="2" t="s">
        <v>118</v>
      </c>
      <c r="B70" s="3"/>
      <c r="C70" s="3"/>
      <c r="D70" s="3"/>
    </row>
    <row r="71" spans="1:4">
      <c r="A71" s="2" t="s">
        <v>119</v>
      </c>
      <c r="B71" s="3" t="s">
        <v>120</v>
      </c>
      <c r="C71" s="3"/>
      <c r="D71" s="3"/>
    </row>
    <row r="72" spans="1:4">
      <c r="A72" s="2" t="s">
        <v>121</v>
      </c>
      <c r="B72" s="3" t="s">
        <v>120</v>
      </c>
      <c r="C72" s="3"/>
      <c r="D72" s="3"/>
    </row>
    <row r="73" spans="1:4">
      <c r="A73" s="2" t="s">
        <v>122</v>
      </c>
      <c r="B73" s="3" t="s">
        <v>107</v>
      </c>
      <c r="C73" s="3"/>
      <c r="D73" s="3"/>
    </row>
    <row r="74" spans="1:4">
      <c r="A74" s="2" t="s">
        <v>123</v>
      </c>
      <c r="B74" s="3" t="s">
        <v>120</v>
      </c>
      <c r="C74" s="3"/>
      <c r="D74" s="3"/>
    </row>
    <row r="75" spans="1:4">
      <c r="A75" s="2" t="s">
        <v>124</v>
      </c>
      <c r="B75" s="3"/>
      <c r="C75" s="3"/>
      <c r="D75" s="3"/>
    </row>
    <row r="76" spans="1:4">
      <c r="A76" s="2" t="s">
        <v>125</v>
      </c>
      <c r="B76" s="3" t="s">
        <v>126</v>
      </c>
      <c r="C76" s="3"/>
      <c r="D76" s="3"/>
    </row>
    <row r="77" spans="1:4">
      <c r="A77" s="2" t="s">
        <v>127</v>
      </c>
      <c r="B77" s="3" t="s">
        <v>128</v>
      </c>
      <c r="C77" s="3"/>
      <c r="D77" s="3"/>
    </row>
    <row r="78" spans="1:4">
      <c r="A78" s="2" t="s">
        <v>129</v>
      </c>
      <c r="B78" s="3" t="s">
        <v>128</v>
      </c>
      <c r="C78" s="3"/>
      <c r="D78" s="3"/>
    </row>
    <row r="79" spans="1:4">
      <c r="A79" s="2" t="s">
        <v>130</v>
      </c>
      <c r="B79" s="3" t="s">
        <v>131</v>
      </c>
      <c r="C79" s="3"/>
      <c r="D79" s="3"/>
    </row>
    <row r="80" spans="1:4">
      <c r="A80" s="2" t="s">
        <v>132</v>
      </c>
      <c r="B80" s="3" t="s">
        <v>133</v>
      </c>
      <c r="C80" s="3"/>
      <c r="D80" s="3"/>
    </row>
    <row r="81" spans="1:4">
      <c r="A81" s="2" t="s">
        <v>134</v>
      </c>
      <c r="B81" s="3" t="s">
        <v>135</v>
      </c>
      <c r="C81" s="3"/>
      <c r="D81" s="3"/>
    </row>
    <row r="82" spans="1:4">
      <c r="A82" s="2" t="s">
        <v>136</v>
      </c>
      <c r="B82" s="3" t="s">
        <v>137</v>
      </c>
      <c r="C82" s="3"/>
      <c r="D82" s="3"/>
    </row>
    <row r="83" spans="1:4">
      <c r="A83" s="2" t="s">
        <v>138</v>
      </c>
      <c r="B83" s="3" t="s">
        <v>137</v>
      </c>
      <c r="C83" s="3"/>
      <c r="D83" s="3"/>
    </row>
    <row r="84" spans="1:4">
      <c r="A84" s="2" t="s">
        <v>139</v>
      </c>
      <c r="B84" s="3" t="s">
        <v>137</v>
      </c>
      <c r="C84" s="3"/>
      <c r="D84" s="3"/>
    </row>
    <row r="85" spans="1:4">
      <c r="A85" s="43" t="s">
        <v>140</v>
      </c>
      <c r="B85" s="43"/>
      <c r="C85" s="43"/>
      <c r="D85" s="43"/>
    </row>
    <row r="86" spans="1:4">
      <c r="A86" s="2" t="s">
        <v>141</v>
      </c>
      <c r="B86" s="3"/>
      <c r="C86" s="3"/>
      <c r="D86" s="3"/>
    </row>
    <row r="87" spans="1:4">
      <c r="A87" s="2" t="s">
        <v>142</v>
      </c>
      <c r="B87" s="3" t="s">
        <v>143</v>
      </c>
      <c r="C87" s="3"/>
      <c r="D87" s="3"/>
    </row>
    <row r="88" spans="1:4">
      <c r="A88" s="2" t="s">
        <v>144</v>
      </c>
      <c r="B88" s="3" t="s">
        <v>143</v>
      </c>
      <c r="C88" s="3"/>
      <c r="D88" s="3"/>
    </row>
    <row r="89" spans="1:4">
      <c r="A89" s="2" t="s">
        <v>145</v>
      </c>
      <c r="B89" s="3"/>
      <c r="C89" s="3"/>
      <c r="D89" s="3"/>
    </row>
    <row r="90" spans="1:4">
      <c r="A90" s="2" t="s">
        <v>146</v>
      </c>
      <c r="B90" s="3" t="s">
        <v>147</v>
      </c>
      <c r="C90" s="19" t="s">
        <v>148</v>
      </c>
      <c r="D90" s="3"/>
    </row>
    <row r="91" spans="1:4">
      <c r="A91" s="2" t="s">
        <v>149</v>
      </c>
      <c r="B91" s="3"/>
      <c r="C91" s="3"/>
      <c r="D91" s="3"/>
    </row>
    <row r="92" spans="1:4">
      <c r="A92" s="2" t="s">
        <v>150</v>
      </c>
      <c r="B92" s="3"/>
      <c r="C92" s="3" t="s">
        <v>148</v>
      </c>
      <c r="D92" s="3"/>
    </row>
    <row r="93" spans="1:4">
      <c r="A93" s="2" t="s">
        <v>151</v>
      </c>
      <c r="B93" s="3"/>
      <c r="C93" s="3" t="s">
        <v>148</v>
      </c>
      <c r="D93" s="3"/>
    </row>
    <row r="94" spans="1:4">
      <c r="A94" s="2" t="s">
        <v>152</v>
      </c>
      <c r="B94" s="3"/>
      <c r="C94" s="3"/>
      <c r="D94" s="3"/>
    </row>
    <row r="95" spans="1:4">
      <c r="A95" s="2" t="s">
        <v>153</v>
      </c>
      <c r="B95" s="3"/>
      <c r="C95" s="3" t="s">
        <v>154</v>
      </c>
      <c r="D95" s="3"/>
    </row>
    <row r="96" spans="1:4">
      <c r="A96" s="2" t="s">
        <v>155</v>
      </c>
      <c r="B96" s="3"/>
      <c r="C96" s="3" t="s">
        <v>156</v>
      </c>
      <c r="D96" s="3"/>
    </row>
    <row r="97" spans="1:4">
      <c r="A97" s="2" t="s">
        <v>157</v>
      </c>
      <c r="B97" s="3"/>
      <c r="C97" s="3"/>
      <c r="D97" s="3"/>
    </row>
    <row r="98" spans="1:4">
      <c r="A98" s="2" t="s">
        <v>158</v>
      </c>
      <c r="B98" s="3" t="s">
        <v>159</v>
      </c>
      <c r="C98" s="3"/>
      <c r="D98" s="3"/>
    </row>
    <row r="99" spans="1:4">
      <c r="A99" s="2" t="s">
        <v>160</v>
      </c>
      <c r="B99" s="3"/>
      <c r="C99" s="3" t="s">
        <v>161</v>
      </c>
      <c r="D99" s="3"/>
    </row>
    <row r="100" spans="1:4">
      <c r="A100" s="2" t="s">
        <v>162</v>
      </c>
      <c r="B100" s="3" t="s">
        <v>159</v>
      </c>
      <c r="C100" s="3"/>
      <c r="D100" s="3"/>
    </row>
    <row r="101" spans="1:4" ht="21" customHeight="1">
      <c r="A101" s="2" t="s">
        <v>163</v>
      </c>
      <c r="B101" s="3"/>
      <c r="C101" s="19" t="s">
        <v>164</v>
      </c>
      <c r="D101" s="3"/>
    </row>
    <row r="102" spans="1:4">
      <c r="A102" s="2" t="s">
        <v>165</v>
      </c>
      <c r="B102" s="3" t="s">
        <v>159</v>
      </c>
      <c r="C102" s="3"/>
      <c r="D102" s="3"/>
    </row>
    <row r="103" spans="1:4">
      <c r="A103" s="2" t="s">
        <v>166</v>
      </c>
      <c r="B103" s="3" t="s">
        <v>159</v>
      </c>
      <c r="C103" s="3"/>
      <c r="D103" s="3"/>
    </row>
    <row r="104" spans="1:4">
      <c r="A104" s="2" t="s">
        <v>167</v>
      </c>
      <c r="B104" s="3" t="s">
        <v>168</v>
      </c>
      <c r="C104" s="3"/>
      <c r="D104" s="3"/>
    </row>
    <row r="105" spans="1:4">
      <c r="A105" s="2" t="s">
        <v>169</v>
      </c>
      <c r="B105" s="3"/>
      <c r="C105" s="3"/>
      <c r="D105" s="3"/>
    </row>
    <row r="106" spans="1:4">
      <c r="A106" s="2" t="s">
        <v>170</v>
      </c>
      <c r="B106" s="19" t="s">
        <v>171</v>
      </c>
      <c r="C106" s="3"/>
      <c r="D106" s="3"/>
    </row>
    <row r="107" spans="1:4">
      <c r="A107" s="2" t="s">
        <v>172</v>
      </c>
      <c r="B107" s="3"/>
      <c r="C107" s="3"/>
      <c r="D107" s="3"/>
    </row>
    <row r="108" spans="1:4">
      <c r="A108" s="2" t="s">
        <v>173</v>
      </c>
      <c r="B108" s="19" t="s">
        <v>174</v>
      </c>
      <c r="C108" s="3"/>
      <c r="D108" s="3"/>
    </row>
    <row r="109" spans="1:4">
      <c r="A109" s="43" t="s">
        <v>175</v>
      </c>
      <c r="B109" s="43"/>
      <c r="C109" s="43"/>
      <c r="D109" s="43"/>
    </row>
    <row r="110" spans="1:4">
      <c r="A110" s="2" t="s">
        <v>176</v>
      </c>
      <c r="B110" s="3"/>
      <c r="C110" s="3"/>
      <c r="D110" s="3"/>
    </row>
    <row r="111" spans="1:4">
      <c r="A111" s="2" t="s">
        <v>177</v>
      </c>
      <c r="B111" s="19" t="s">
        <v>178</v>
      </c>
      <c r="C111" s="3"/>
      <c r="D111" s="3"/>
    </row>
    <row r="112" spans="1:4">
      <c r="A112" s="2" t="s">
        <v>179</v>
      </c>
      <c r="B112" s="19" t="s">
        <v>178</v>
      </c>
      <c r="C112" s="3"/>
      <c r="D112" s="3"/>
    </row>
    <row r="113" spans="1:4">
      <c r="A113" s="2" t="s">
        <v>180</v>
      </c>
      <c r="B113" s="19" t="s">
        <v>178</v>
      </c>
      <c r="C113" s="3"/>
      <c r="D113" s="3"/>
    </row>
    <row r="114" spans="1:4">
      <c r="A114" s="2" t="s">
        <v>181</v>
      </c>
      <c r="B114" s="19" t="s">
        <v>182</v>
      </c>
      <c r="C114" s="3"/>
      <c r="D114" s="3"/>
    </row>
    <row r="115" spans="1:4">
      <c r="A115" s="2" t="s">
        <v>183</v>
      </c>
      <c r="B115" s="19" t="s">
        <v>178</v>
      </c>
      <c r="C115" s="3"/>
      <c r="D115" s="3"/>
    </row>
    <row r="116" spans="1:4">
      <c r="A116" s="2" t="s">
        <v>184</v>
      </c>
      <c r="B116" s="3"/>
      <c r="C116" s="3"/>
      <c r="D116" s="3"/>
    </row>
    <row r="117" spans="1:4">
      <c r="A117" s="2" t="s">
        <v>185</v>
      </c>
      <c r="B117" s="3"/>
      <c r="C117" s="19" t="s">
        <v>186</v>
      </c>
      <c r="D117" s="3"/>
    </row>
    <row r="118" spans="1:4">
      <c r="A118" s="2" t="s">
        <v>187</v>
      </c>
      <c r="B118" s="3"/>
      <c r="C118" s="3" t="s">
        <v>50</v>
      </c>
      <c r="D118" s="3"/>
    </row>
    <row r="119" spans="1:4">
      <c r="A119" s="2" t="s">
        <v>188</v>
      </c>
      <c r="B119" s="3"/>
      <c r="C119" s="3" t="s">
        <v>189</v>
      </c>
      <c r="D119" s="3"/>
    </row>
    <row r="120" spans="1:4">
      <c r="A120" s="2" t="s">
        <v>190</v>
      </c>
      <c r="B120" s="3"/>
      <c r="C120" s="3" t="s">
        <v>50</v>
      </c>
      <c r="D120" s="3"/>
    </row>
    <row r="121" spans="1:4">
      <c r="A121" s="2" t="s">
        <v>191</v>
      </c>
      <c r="B121" s="3"/>
      <c r="C121" s="3"/>
      <c r="D121" s="3"/>
    </row>
    <row r="122" spans="1:4">
      <c r="A122" s="2" t="s">
        <v>192</v>
      </c>
      <c r="B122" s="3"/>
      <c r="C122" s="3" t="s">
        <v>58</v>
      </c>
      <c r="D122" s="3"/>
    </row>
    <row r="123" spans="1:4">
      <c r="A123" s="2" t="s">
        <v>193</v>
      </c>
      <c r="B123" s="3"/>
      <c r="C123" s="3" t="s">
        <v>58</v>
      </c>
      <c r="D123" s="3"/>
    </row>
    <row r="124" spans="1:4">
      <c r="A124" s="2" t="s">
        <v>194</v>
      </c>
      <c r="B124" s="19" t="s">
        <v>195</v>
      </c>
      <c r="C124" s="3"/>
      <c r="D124" s="3"/>
    </row>
    <row r="125" spans="1:4">
      <c r="A125" s="2" t="s">
        <v>196</v>
      </c>
      <c r="B125" s="19" t="s">
        <v>197</v>
      </c>
      <c r="C125" s="19" t="s">
        <v>40</v>
      </c>
      <c r="D125" s="3"/>
    </row>
    <row r="126" spans="1:4">
      <c r="A126" s="2" t="s">
        <v>198</v>
      </c>
      <c r="B126" s="3"/>
      <c r="C126" s="3"/>
      <c r="D126" s="3"/>
    </row>
    <row r="127" spans="1:4">
      <c r="A127" s="2" t="s">
        <v>199</v>
      </c>
      <c r="B127" s="19" t="s">
        <v>200</v>
      </c>
      <c r="C127" s="19" t="s">
        <v>47</v>
      </c>
      <c r="D127" s="3"/>
    </row>
    <row r="128" spans="1:4">
      <c r="A128" s="2" t="s">
        <v>201</v>
      </c>
      <c r="B128" s="19" t="s">
        <v>200</v>
      </c>
      <c r="C128" s="19" t="s">
        <v>47</v>
      </c>
      <c r="D128" s="3"/>
    </row>
    <row r="129" spans="1:4">
      <c r="A129" s="2" t="s">
        <v>202</v>
      </c>
      <c r="B129" s="19" t="s">
        <v>200</v>
      </c>
      <c r="C129" s="19" t="s">
        <v>47</v>
      </c>
      <c r="D129" s="3"/>
    </row>
    <row r="130" spans="1:4">
      <c r="A130" s="2" t="s">
        <v>203</v>
      </c>
      <c r="B130" s="19" t="s">
        <v>200</v>
      </c>
      <c r="C130" s="19" t="s">
        <v>47</v>
      </c>
      <c r="D130" s="3"/>
    </row>
    <row r="131" spans="1:4">
      <c r="A131" s="2" t="s">
        <v>204</v>
      </c>
      <c r="B131" s="3"/>
      <c r="C131" s="3" t="s">
        <v>47</v>
      </c>
      <c r="D131" s="3"/>
    </row>
    <row r="132" spans="1:4">
      <c r="A132" s="2" t="s">
        <v>205</v>
      </c>
      <c r="B132" s="3"/>
      <c r="C132" s="3" t="s">
        <v>47</v>
      </c>
      <c r="D132" s="3"/>
    </row>
    <row r="133" spans="1:4">
      <c r="A133" s="2" t="s">
        <v>206</v>
      </c>
      <c r="B133" s="3"/>
      <c r="C133" s="3"/>
      <c r="D133" s="3"/>
    </row>
    <row r="134" spans="1:4">
      <c r="A134" s="2" t="s">
        <v>207</v>
      </c>
      <c r="B134" s="19" t="s">
        <v>208</v>
      </c>
      <c r="C134" s="3"/>
      <c r="D134" s="3"/>
    </row>
    <row r="135" spans="1:4">
      <c r="A135" s="2" t="s">
        <v>209</v>
      </c>
      <c r="B135" s="19" t="s">
        <v>210</v>
      </c>
      <c r="C135" s="3"/>
      <c r="D135" s="3"/>
    </row>
    <row r="136" spans="1:4">
      <c r="A136" s="2" t="s">
        <v>211</v>
      </c>
      <c r="B136" s="3" t="s">
        <v>212</v>
      </c>
      <c r="C136" s="3"/>
      <c r="D136" s="3"/>
    </row>
    <row r="137" spans="1:4">
      <c r="A137" s="2" t="s">
        <v>213</v>
      </c>
      <c r="B137" s="19" t="s">
        <v>214</v>
      </c>
      <c r="C137" s="3"/>
      <c r="D137" s="3"/>
    </row>
    <row r="138" spans="1:4">
      <c r="A138" s="2" t="s">
        <v>215</v>
      </c>
      <c r="B138" s="19" t="s">
        <v>214</v>
      </c>
      <c r="C138" s="3"/>
      <c r="D138" s="3"/>
    </row>
    <row r="139" spans="1:4">
      <c r="A139" s="2" t="s">
        <v>216</v>
      </c>
      <c r="B139" s="19" t="s">
        <v>214</v>
      </c>
      <c r="C139" s="3"/>
      <c r="D139" s="3"/>
    </row>
    <row r="140" spans="1:4">
      <c r="A140" s="2" t="s">
        <v>217</v>
      </c>
      <c r="B140" s="3"/>
      <c r="C140" s="3"/>
      <c r="D140" s="3"/>
    </row>
    <row r="141" spans="1:4">
      <c r="A141" s="2" t="s">
        <v>218</v>
      </c>
      <c r="B141" s="3"/>
      <c r="C141" s="21" t="s">
        <v>52</v>
      </c>
      <c r="D141" s="3"/>
    </row>
    <row r="142" spans="1:4">
      <c r="A142" s="2" t="s">
        <v>219</v>
      </c>
      <c r="B142" s="3"/>
      <c r="C142" s="3" t="s">
        <v>54</v>
      </c>
      <c r="D142" s="3"/>
    </row>
    <row r="143" spans="1:4">
      <c r="A143" s="2" t="s">
        <v>220</v>
      </c>
      <c r="B143" s="3"/>
      <c r="C143" s="3" t="s">
        <v>221</v>
      </c>
      <c r="D143" s="3"/>
    </row>
    <row r="144" spans="1:4">
      <c r="A144" s="2" t="s">
        <v>222</v>
      </c>
      <c r="B144" s="3"/>
      <c r="C144" s="3" t="s">
        <v>221</v>
      </c>
      <c r="D144" s="3"/>
    </row>
    <row r="145" spans="1:4">
      <c r="A145" s="2" t="s">
        <v>223</v>
      </c>
      <c r="B145" s="3"/>
      <c r="C145" s="3" t="s">
        <v>221</v>
      </c>
      <c r="D145" s="3"/>
    </row>
    <row r="146" spans="1:4">
      <c r="A146" s="2" t="s">
        <v>224</v>
      </c>
      <c r="B146" s="3"/>
      <c r="C146" s="3" t="s">
        <v>221</v>
      </c>
      <c r="D146" s="3"/>
    </row>
    <row r="147" spans="1:4">
      <c r="A147" s="2" t="s">
        <v>225</v>
      </c>
      <c r="B147" s="3"/>
      <c r="C147" s="3" t="s">
        <v>221</v>
      </c>
      <c r="D147" s="3"/>
    </row>
    <row r="148" spans="1:4">
      <c r="A148" s="2" t="s">
        <v>226</v>
      </c>
      <c r="B148" s="3"/>
      <c r="C148" s="3"/>
      <c r="D148" s="3"/>
    </row>
    <row r="149" spans="1:4">
      <c r="A149" s="2" t="s">
        <v>227</v>
      </c>
      <c r="B149" s="3" t="s">
        <v>195</v>
      </c>
      <c r="C149" s="3"/>
      <c r="D149" s="3"/>
    </row>
    <row r="150" spans="1:4" ht="30">
      <c r="A150" s="2" t="s">
        <v>228</v>
      </c>
      <c r="B150" s="3"/>
      <c r="C150" s="3" t="s">
        <v>229</v>
      </c>
      <c r="D150" s="3"/>
    </row>
    <row r="151" spans="1:4" ht="30">
      <c r="A151" s="2" t="s">
        <v>230</v>
      </c>
      <c r="B151" s="3" t="s">
        <v>195</v>
      </c>
      <c r="C151" s="3" t="s">
        <v>229</v>
      </c>
      <c r="D151" s="3"/>
    </row>
    <row r="152" spans="1:4">
      <c r="A152" s="2" t="s">
        <v>231</v>
      </c>
      <c r="B152" s="3" t="s">
        <v>195</v>
      </c>
      <c r="C152" s="3"/>
      <c r="D152" s="3"/>
    </row>
    <row r="153" spans="1:4">
      <c r="A153" s="2" t="s">
        <v>232</v>
      </c>
      <c r="B153" s="3" t="s">
        <v>195</v>
      </c>
      <c r="C153" s="3"/>
      <c r="D153" s="3"/>
    </row>
    <row r="154" spans="1:4">
      <c r="A154" s="2" t="s">
        <v>233</v>
      </c>
      <c r="B154" s="3" t="s">
        <v>195</v>
      </c>
      <c r="C154" s="3"/>
      <c r="D154" s="3"/>
    </row>
    <row r="155" spans="1:4" ht="30">
      <c r="A155" s="2" t="s">
        <v>234</v>
      </c>
      <c r="B155" s="3"/>
      <c r="C155" s="3" t="s">
        <v>229</v>
      </c>
      <c r="D155" s="3"/>
    </row>
    <row r="156" spans="1:4">
      <c r="A156" s="2" t="s">
        <v>235</v>
      </c>
      <c r="B156" s="3" t="s">
        <v>195</v>
      </c>
      <c r="C156" s="3"/>
      <c r="D156" s="3"/>
    </row>
    <row r="157" spans="1:4" ht="30">
      <c r="A157" s="2" t="s">
        <v>236</v>
      </c>
      <c r="B157" s="3"/>
      <c r="C157" s="3" t="s">
        <v>229</v>
      </c>
      <c r="D157" s="3"/>
    </row>
    <row r="158" spans="1:4">
      <c r="A158" s="2" t="s">
        <v>237</v>
      </c>
      <c r="B158" s="3"/>
      <c r="C158" s="3"/>
      <c r="D158" s="3"/>
    </row>
    <row r="159" spans="1:4">
      <c r="A159" s="2" t="s">
        <v>238</v>
      </c>
      <c r="B159" s="3" t="s">
        <v>239</v>
      </c>
      <c r="C159" s="3"/>
      <c r="D159" s="3"/>
    </row>
    <row r="160" spans="1:4">
      <c r="A160" s="2" t="s">
        <v>240</v>
      </c>
      <c r="B160" s="3" t="s">
        <v>241</v>
      </c>
      <c r="C160" s="3"/>
      <c r="D160" s="3"/>
    </row>
    <row r="161" spans="1:8">
      <c r="A161" s="2" t="s">
        <v>242</v>
      </c>
      <c r="B161" s="3"/>
      <c r="C161" s="3" t="s">
        <v>104</v>
      </c>
      <c r="D161" s="3"/>
    </row>
    <row r="162" spans="1:8">
      <c r="A162" s="2" t="s">
        <v>243</v>
      </c>
      <c r="B162" s="3"/>
      <c r="C162" s="3" t="s">
        <v>111</v>
      </c>
      <c r="D162" s="3"/>
    </row>
    <row r="163" spans="1:8">
      <c r="A163" s="2" t="s">
        <v>244</v>
      </c>
      <c r="B163" s="3" t="s">
        <v>245</v>
      </c>
      <c r="C163" s="3"/>
      <c r="D163" s="3"/>
    </row>
    <row r="164" spans="1:8">
      <c r="A164" s="2" t="s">
        <v>246</v>
      </c>
      <c r="B164" s="3" t="s">
        <v>247</v>
      </c>
      <c r="C164" s="3"/>
      <c r="D164" s="3"/>
    </row>
    <row r="165" spans="1:8">
      <c r="A165" s="2" t="s">
        <v>248</v>
      </c>
      <c r="B165" s="3"/>
      <c r="C165" s="3" t="s">
        <v>247</v>
      </c>
      <c r="D165" s="3"/>
    </row>
    <row r="166" spans="1:8">
      <c r="A166" s="2" t="s">
        <v>249</v>
      </c>
      <c r="B166" s="3" t="s">
        <v>250</v>
      </c>
      <c r="C166" s="3"/>
      <c r="D166" s="3"/>
    </row>
    <row r="167" spans="1:8" ht="30">
      <c r="A167" s="2" t="s">
        <v>251</v>
      </c>
      <c r="B167" s="3"/>
      <c r="C167" s="3" t="s">
        <v>252</v>
      </c>
      <c r="D167" s="3"/>
    </row>
    <row r="168" spans="1:8">
      <c r="A168" s="2" t="s">
        <v>253</v>
      </c>
      <c r="B168" s="3"/>
      <c r="C168" s="3"/>
      <c r="D168" s="3"/>
    </row>
    <row r="169" spans="1:8">
      <c r="A169" s="2" t="s">
        <v>254</v>
      </c>
      <c r="B169" s="3" t="s">
        <v>255</v>
      </c>
      <c r="C169" s="3"/>
      <c r="D169" s="3"/>
    </row>
    <row r="170" spans="1:8">
      <c r="A170" s="2" t="s">
        <v>256</v>
      </c>
      <c r="B170" s="3" t="s">
        <v>247</v>
      </c>
      <c r="C170" s="3"/>
      <c r="D170" s="3"/>
    </row>
    <row r="171" spans="1:8">
      <c r="A171" s="2" t="s">
        <v>257</v>
      </c>
      <c r="B171" s="3" t="s">
        <v>258</v>
      </c>
      <c r="C171" s="3" t="s">
        <v>56</v>
      </c>
      <c r="D171" s="3"/>
    </row>
    <row r="172" spans="1:8">
      <c r="A172" s="43" t="s">
        <v>259</v>
      </c>
      <c r="B172" s="43"/>
      <c r="C172" s="43"/>
      <c r="D172" s="43"/>
    </row>
    <row r="173" spans="1:8">
      <c r="A173" s="2" t="s">
        <v>260</v>
      </c>
      <c r="B173" s="3"/>
      <c r="C173" s="3"/>
      <c r="D173" s="3"/>
    </row>
    <row r="174" spans="1:8">
      <c r="A174" s="2" t="s">
        <v>261</v>
      </c>
      <c r="B174" s="3"/>
      <c r="C174" s="21" t="s">
        <v>262</v>
      </c>
      <c r="D174" s="3"/>
    </row>
    <row r="175" spans="1:8">
      <c r="A175" s="2" t="s">
        <v>263</v>
      </c>
      <c r="B175" s="3"/>
      <c r="C175" s="3" t="s">
        <v>264</v>
      </c>
      <c r="D175" s="3"/>
    </row>
    <row r="176" spans="1:8">
      <c r="A176" s="2" t="s">
        <v>265</v>
      </c>
      <c r="B176" s="3"/>
      <c r="C176" s="3" t="s">
        <v>266</v>
      </c>
      <c r="D176" s="3"/>
      <c r="H176">
        <f>3*267-220</f>
        <v>581</v>
      </c>
    </row>
    <row r="177" spans="1:8">
      <c r="A177" s="2" t="s">
        <v>267</v>
      </c>
      <c r="B177" s="3"/>
      <c r="C177" s="3" t="s">
        <v>268</v>
      </c>
      <c r="D177" s="3"/>
      <c r="H177">
        <f>3*264+44</f>
        <v>836</v>
      </c>
    </row>
    <row r="178" spans="1:8">
      <c r="A178" s="2" t="s">
        <v>269</v>
      </c>
      <c r="B178" s="3"/>
      <c r="C178" s="3" t="s">
        <v>270</v>
      </c>
      <c r="D178" s="3"/>
      <c r="H178">
        <f>H177-H176</f>
        <v>255</v>
      </c>
    </row>
    <row r="179" spans="1:8">
      <c r="A179" s="2" t="s">
        <v>271</v>
      </c>
      <c r="B179" s="3"/>
      <c r="C179" s="3" t="s">
        <v>272</v>
      </c>
      <c r="D179" s="3"/>
    </row>
    <row r="180" spans="1:8">
      <c r="A180" s="2" t="s">
        <v>273</v>
      </c>
      <c r="B180" s="3"/>
      <c r="C180" s="3"/>
      <c r="D180" s="3"/>
    </row>
    <row r="181" spans="1:8">
      <c r="A181" s="2" t="s">
        <v>274</v>
      </c>
      <c r="B181" s="3"/>
      <c r="C181" s="3" t="s">
        <v>275</v>
      </c>
      <c r="D181" s="3"/>
    </row>
    <row r="182" spans="1:8">
      <c r="A182" s="2" t="s">
        <v>276</v>
      </c>
      <c r="B182" s="3"/>
      <c r="C182" s="3" t="s">
        <v>275</v>
      </c>
      <c r="D182" s="3"/>
    </row>
    <row r="183" spans="1:8">
      <c r="A183" s="2" t="s">
        <v>277</v>
      </c>
      <c r="B183" s="3"/>
      <c r="C183" s="3" t="s">
        <v>278</v>
      </c>
      <c r="D183" s="3"/>
    </row>
    <row r="184" spans="1:8">
      <c r="A184" s="2" t="s">
        <v>279</v>
      </c>
      <c r="B184" s="3"/>
      <c r="C184" s="3" t="s">
        <v>278</v>
      </c>
      <c r="D184" s="3"/>
    </row>
    <row r="185" spans="1:8">
      <c r="A185" s="2" t="s">
        <v>280</v>
      </c>
      <c r="B185" s="3"/>
      <c r="C185" s="3" t="s">
        <v>281</v>
      </c>
      <c r="D185" s="3"/>
    </row>
    <row r="186" spans="1:8">
      <c r="A186" s="2" t="s">
        <v>282</v>
      </c>
      <c r="B186" s="3"/>
      <c r="C186" s="3" t="s">
        <v>283</v>
      </c>
      <c r="D186" s="3"/>
    </row>
    <row r="187" spans="1:8">
      <c r="A187" s="2" t="s">
        <v>284</v>
      </c>
      <c r="B187" s="3"/>
      <c r="C187" s="3"/>
      <c r="D187" s="3"/>
    </row>
    <row r="188" spans="1:8">
      <c r="A188" s="2" t="s">
        <v>285</v>
      </c>
      <c r="B188" s="3" t="s">
        <v>247</v>
      </c>
      <c r="C188" s="3" t="s">
        <v>247</v>
      </c>
      <c r="D188" s="3"/>
    </row>
    <row r="189" spans="1:8">
      <c r="A189" s="2" t="s">
        <v>286</v>
      </c>
      <c r="B189" s="3"/>
      <c r="C189" s="3"/>
      <c r="D189" s="3"/>
    </row>
    <row r="190" spans="1:8">
      <c r="A190" s="2" t="s">
        <v>287</v>
      </c>
      <c r="B190" s="3"/>
      <c r="C190" s="3" t="s">
        <v>8</v>
      </c>
      <c r="D190" s="3"/>
    </row>
    <row r="191" spans="1:8">
      <c r="A191" s="2" t="s">
        <v>288</v>
      </c>
      <c r="B191" s="3"/>
      <c r="C191" s="3" t="s">
        <v>12</v>
      </c>
      <c r="D191" s="3"/>
    </row>
    <row r="192" spans="1:8">
      <c r="A192" s="2" t="s">
        <v>289</v>
      </c>
      <c r="B192" s="3"/>
      <c r="C192" s="3" t="s">
        <v>290</v>
      </c>
      <c r="D192" s="3"/>
    </row>
    <row r="193" spans="1:4">
      <c r="A193" s="2" t="s">
        <v>291</v>
      </c>
      <c r="B193" s="3"/>
      <c r="C193" s="3"/>
      <c r="D193" s="3"/>
    </row>
    <row r="194" spans="1:4" ht="30">
      <c r="A194" s="2" t="s">
        <v>292</v>
      </c>
      <c r="B194" s="3"/>
      <c r="C194" s="3" t="s">
        <v>293</v>
      </c>
      <c r="D194" s="3"/>
    </row>
    <row r="195" spans="1:4">
      <c r="A195" s="2" t="s">
        <v>294</v>
      </c>
      <c r="B195" s="3"/>
      <c r="C195" s="3"/>
      <c r="D195" s="3"/>
    </row>
    <row r="196" spans="1:4">
      <c r="A196" s="2" t="s">
        <v>295</v>
      </c>
      <c r="B196" s="3"/>
      <c r="C196" s="3" t="s">
        <v>296</v>
      </c>
      <c r="D196" s="3"/>
    </row>
    <row r="197" spans="1:4">
      <c r="A197" s="2" t="s">
        <v>297</v>
      </c>
      <c r="B197" s="3"/>
      <c r="C197" s="3" t="s">
        <v>298</v>
      </c>
      <c r="D197" s="3"/>
    </row>
    <row r="198" spans="1:4">
      <c r="A198" s="2" t="s">
        <v>299</v>
      </c>
      <c r="B198" s="3"/>
      <c r="C198" s="3" t="s">
        <v>164</v>
      </c>
      <c r="D198" s="3"/>
    </row>
    <row r="199" spans="1:4" ht="30">
      <c r="A199" s="2" t="s">
        <v>300</v>
      </c>
      <c r="B199" s="3"/>
      <c r="C199" s="3" t="s">
        <v>229</v>
      </c>
      <c r="D199" s="3"/>
    </row>
    <row r="200" spans="1:4">
      <c r="A200" s="2" t="s">
        <v>301</v>
      </c>
      <c r="B200" s="3"/>
      <c r="C200" s="3" t="s">
        <v>302</v>
      </c>
      <c r="D200" s="3"/>
    </row>
    <row r="201" spans="1:4" ht="30">
      <c r="A201" s="2" t="s">
        <v>303</v>
      </c>
      <c r="B201" s="3"/>
      <c r="C201" s="3" t="s">
        <v>304</v>
      </c>
      <c r="D201" s="3"/>
    </row>
    <row r="202" spans="1:4" ht="75">
      <c r="A202" s="2" t="s">
        <v>305</v>
      </c>
      <c r="B202" s="3"/>
      <c r="C202" s="3" t="s">
        <v>306</v>
      </c>
      <c r="D202" s="3"/>
    </row>
    <row r="203" spans="1:4">
      <c r="A203" s="2" t="s">
        <v>307</v>
      </c>
      <c r="B203" s="3"/>
      <c r="C203" s="3"/>
      <c r="D203" s="3"/>
    </row>
    <row r="204" spans="1:4">
      <c r="A204" s="2" t="s">
        <v>308</v>
      </c>
      <c r="B204" s="3" t="s">
        <v>309</v>
      </c>
      <c r="C204" s="3" t="s">
        <v>310</v>
      </c>
      <c r="D204" s="3"/>
    </row>
    <row r="205" spans="1:4">
      <c r="A205" s="2" t="s">
        <v>311</v>
      </c>
      <c r="B205" s="3"/>
      <c r="C205" s="3"/>
      <c r="D205" s="3"/>
    </row>
    <row r="206" spans="1:4">
      <c r="A206" s="2" t="s">
        <v>312</v>
      </c>
      <c r="B206" s="3"/>
      <c r="C206" s="3" t="s">
        <v>262</v>
      </c>
      <c r="D206" s="3"/>
    </row>
    <row r="207" spans="1:4">
      <c r="A207" s="43" t="s">
        <v>313</v>
      </c>
      <c r="B207" s="43"/>
      <c r="C207" s="43"/>
      <c r="D207" s="43"/>
    </row>
    <row r="208" spans="1:4">
      <c r="A208" s="2" t="s">
        <v>314</v>
      </c>
      <c r="B208" s="3"/>
      <c r="C208" s="3"/>
      <c r="D208" s="3"/>
    </row>
    <row r="209" spans="1:4">
      <c r="A209" s="2" t="s">
        <v>315</v>
      </c>
      <c r="B209" s="3"/>
      <c r="C209" s="3"/>
      <c r="D209" s="3" t="s">
        <v>316</v>
      </c>
    </row>
    <row r="210" spans="1:4">
      <c r="A210" s="2" t="s">
        <v>317</v>
      </c>
      <c r="B210" s="3"/>
      <c r="C210" s="3"/>
      <c r="D210" s="3" t="s">
        <v>316</v>
      </c>
    </row>
    <row r="211" spans="1:4">
      <c r="A211" s="2" t="s">
        <v>318</v>
      </c>
      <c r="B211" s="3"/>
      <c r="C211" s="3"/>
      <c r="D211" s="3" t="s">
        <v>316</v>
      </c>
    </row>
    <row r="212" spans="1:4">
      <c r="A212" s="2" t="s">
        <v>319</v>
      </c>
      <c r="B212" s="3"/>
      <c r="C212" s="3"/>
      <c r="D212" s="3" t="s">
        <v>212</v>
      </c>
    </row>
    <row r="213" spans="1:4">
      <c r="A213" s="2" t="s">
        <v>320</v>
      </c>
      <c r="B213" s="3"/>
      <c r="C213" s="3"/>
      <c r="D213" s="3"/>
    </row>
    <row r="214" spans="1:4">
      <c r="A214" s="2" t="s">
        <v>321</v>
      </c>
      <c r="B214" s="3"/>
      <c r="C214" s="3"/>
      <c r="D214" s="3" t="s">
        <v>322</v>
      </c>
    </row>
    <row r="215" spans="1:4">
      <c r="A215" s="2" t="s">
        <v>323</v>
      </c>
      <c r="B215" s="3"/>
      <c r="C215" s="3"/>
      <c r="D215" s="3" t="s">
        <v>322</v>
      </c>
    </row>
    <row r="216" spans="1:4">
      <c r="A216" s="2" t="s">
        <v>324</v>
      </c>
      <c r="B216" s="3"/>
      <c r="C216" s="3"/>
      <c r="D216" s="3" t="s">
        <v>322</v>
      </c>
    </row>
    <row r="217" spans="1:4">
      <c r="A217" s="2" t="s">
        <v>325</v>
      </c>
      <c r="B217" s="3"/>
      <c r="C217" s="3"/>
      <c r="D217" s="21" t="s">
        <v>322</v>
      </c>
    </row>
    <row r="218" spans="1:4">
      <c r="A218" s="2" t="s">
        <v>326</v>
      </c>
      <c r="B218" s="3"/>
      <c r="C218" s="3"/>
      <c r="D218" s="3"/>
    </row>
    <row r="219" spans="1:4">
      <c r="A219" s="2" t="s">
        <v>327</v>
      </c>
      <c r="B219" s="3"/>
      <c r="C219" s="3"/>
      <c r="D219" s="3" t="s">
        <v>328</v>
      </c>
    </row>
    <row r="220" spans="1:4">
      <c r="A220" s="2" t="s">
        <v>329</v>
      </c>
      <c r="B220" s="3"/>
      <c r="C220" s="3"/>
      <c r="D220" s="3" t="s">
        <v>328</v>
      </c>
    </row>
    <row r="221" spans="1:4">
      <c r="A221" s="2" t="s">
        <v>330</v>
      </c>
      <c r="B221" s="3"/>
      <c r="C221" s="3"/>
      <c r="D221" s="3" t="s">
        <v>331</v>
      </c>
    </row>
    <row r="222" spans="1:4">
      <c r="A222" s="2" t="s">
        <v>332</v>
      </c>
      <c r="B222" s="3"/>
      <c r="C222" s="3"/>
      <c r="D222" s="3" t="s">
        <v>333</v>
      </c>
    </row>
    <row r="223" spans="1:4">
      <c r="A223" s="2" t="s">
        <v>334</v>
      </c>
      <c r="B223" s="3"/>
      <c r="C223" s="3"/>
      <c r="D223" s="3" t="s">
        <v>333</v>
      </c>
    </row>
    <row r="224" spans="1:4">
      <c r="A224" s="2" t="s">
        <v>335</v>
      </c>
      <c r="B224" s="3"/>
      <c r="C224" s="3"/>
      <c r="D224" s="3" t="s">
        <v>333</v>
      </c>
    </row>
    <row r="225" spans="1:4">
      <c r="A225" s="2" t="s">
        <v>336</v>
      </c>
      <c r="B225" s="3"/>
      <c r="C225" s="3"/>
      <c r="D225" s="3" t="s">
        <v>337</v>
      </c>
    </row>
    <row r="226" spans="1:4">
      <c r="A226" s="2" t="s">
        <v>338</v>
      </c>
      <c r="B226" s="3"/>
      <c r="C226" s="3"/>
      <c r="D226" s="3" t="s">
        <v>337</v>
      </c>
    </row>
    <row r="227" spans="1:4">
      <c r="A227" s="2" t="s">
        <v>339</v>
      </c>
      <c r="B227" s="3"/>
      <c r="C227" s="3"/>
      <c r="D227" s="3"/>
    </row>
    <row r="228" spans="1:4">
      <c r="A228" s="2" t="s">
        <v>340</v>
      </c>
      <c r="B228" s="3"/>
      <c r="C228" s="3"/>
      <c r="D228" s="3" t="s">
        <v>341</v>
      </c>
    </row>
    <row r="229" spans="1:4">
      <c r="A229" s="2" t="s">
        <v>342</v>
      </c>
      <c r="B229" s="3"/>
      <c r="C229" s="3"/>
      <c r="D229" s="3" t="s">
        <v>341</v>
      </c>
    </row>
    <row r="230" spans="1:4">
      <c r="A230" s="2" t="s">
        <v>343</v>
      </c>
      <c r="B230" s="3"/>
      <c r="C230" s="3"/>
      <c r="D230" s="3" t="s">
        <v>341</v>
      </c>
    </row>
    <row r="231" spans="1:4">
      <c r="A231" s="2" t="s">
        <v>344</v>
      </c>
      <c r="B231" s="3"/>
      <c r="C231" s="3"/>
      <c r="D231" s="3"/>
    </row>
    <row r="232" spans="1:4">
      <c r="A232" s="2" t="s">
        <v>345</v>
      </c>
      <c r="B232" s="3"/>
      <c r="C232" s="3"/>
      <c r="D232" s="3" t="s">
        <v>346</v>
      </c>
    </row>
    <row r="233" spans="1:4">
      <c r="A233" s="2" t="s">
        <v>347</v>
      </c>
      <c r="B233" s="3"/>
      <c r="C233" s="3"/>
      <c r="D233" s="3" t="s">
        <v>348</v>
      </c>
    </row>
    <row r="234" spans="1:4">
      <c r="A234" s="2" t="s">
        <v>349</v>
      </c>
      <c r="B234" s="3"/>
      <c r="C234" s="3"/>
      <c r="D234" s="3" t="s">
        <v>350</v>
      </c>
    </row>
    <row r="235" spans="1:4">
      <c r="A235" s="2" t="s">
        <v>351</v>
      </c>
      <c r="B235" s="3"/>
      <c r="C235" s="3"/>
      <c r="D235" s="3" t="s">
        <v>350</v>
      </c>
    </row>
    <row r="236" spans="1:4">
      <c r="A236" s="2" t="s">
        <v>352</v>
      </c>
      <c r="B236" s="3"/>
      <c r="C236" s="3"/>
      <c r="D236" s="3" t="s">
        <v>350</v>
      </c>
    </row>
    <row r="237" spans="1:4">
      <c r="A237" s="2" t="s">
        <v>353</v>
      </c>
      <c r="B237" s="3"/>
      <c r="C237" s="3"/>
      <c r="D237" s="3" t="s">
        <v>350</v>
      </c>
    </row>
    <row r="238" spans="1:4">
      <c r="A238" s="2" t="s">
        <v>354</v>
      </c>
      <c r="B238" s="3"/>
      <c r="C238" s="3"/>
      <c r="D238" s="3" t="s">
        <v>350</v>
      </c>
    </row>
    <row r="239" spans="1:4">
      <c r="A239" s="2" t="s">
        <v>355</v>
      </c>
      <c r="B239" s="3"/>
      <c r="C239" s="3"/>
      <c r="D239" s="3" t="s">
        <v>350</v>
      </c>
    </row>
    <row r="240" spans="1:4" ht="30">
      <c r="A240" s="2" t="s">
        <v>356</v>
      </c>
      <c r="B240" s="3"/>
      <c r="C240" s="3"/>
      <c r="D240" s="3"/>
    </row>
    <row r="241" spans="1:4">
      <c r="A241" s="2" t="s">
        <v>357</v>
      </c>
      <c r="B241" s="3"/>
      <c r="C241" s="3"/>
      <c r="D241" s="3" t="s">
        <v>358</v>
      </c>
    </row>
    <row r="242" spans="1:4">
      <c r="A242" s="2" t="s">
        <v>359</v>
      </c>
      <c r="B242" s="3"/>
      <c r="C242" s="3"/>
      <c r="D242" s="3" t="s">
        <v>360</v>
      </c>
    </row>
    <row r="243" spans="1:4">
      <c r="A243" s="2" t="s">
        <v>361</v>
      </c>
      <c r="B243" s="3"/>
      <c r="C243" s="3"/>
      <c r="D243" s="3" t="s">
        <v>360</v>
      </c>
    </row>
    <row r="244" spans="1:4">
      <c r="A244" s="2" t="s">
        <v>362</v>
      </c>
      <c r="B244" s="3"/>
      <c r="C244" s="3"/>
      <c r="D244" s="3" t="s">
        <v>360</v>
      </c>
    </row>
    <row r="245" spans="1:4">
      <c r="A245" s="2" t="s">
        <v>363</v>
      </c>
      <c r="B245" s="3"/>
      <c r="C245" s="3"/>
      <c r="D245" s="3" t="s">
        <v>350</v>
      </c>
    </row>
    <row r="246" spans="1:4">
      <c r="A246" s="2" t="s">
        <v>364</v>
      </c>
      <c r="B246" s="3"/>
      <c r="C246" s="3"/>
      <c r="D246" s="3" t="s">
        <v>360</v>
      </c>
    </row>
    <row r="247" spans="1:4">
      <c r="A247" s="2" t="s">
        <v>365</v>
      </c>
      <c r="B247" s="3"/>
      <c r="C247" s="3"/>
      <c r="D247" s="3" t="s">
        <v>360</v>
      </c>
    </row>
    <row r="248" spans="1:4">
      <c r="A248" s="2" t="s">
        <v>366</v>
      </c>
      <c r="B248" s="3"/>
      <c r="C248" s="3"/>
      <c r="D248" s="3"/>
    </row>
    <row r="249" spans="1:4">
      <c r="A249" s="2" t="s">
        <v>367</v>
      </c>
      <c r="B249" s="3"/>
      <c r="C249" s="3"/>
      <c r="D249" s="3" t="s">
        <v>368</v>
      </c>
    </row>
    <row r="250" spans="1:4">
      <c r="A250" s="2" t="s">
        <v>369</v>
      </c>
      <c r="B250" s="3"/>
      <c r="C250" s="3"/>
      <c r="D250" s="3" t="s">
        <v>370</v>
      </c>
    </row>
    <row r="251" spans="1:4">
      <c r="A251" s="2" t="s">
        <v>371</v>
      </c>
      <c r="B251" s="3"/>
      <c r="C251" s="3"/>
      <c r="D251" s="3" t="s">
        <v>372</v>
      </c>
    </row>
    <row r="252" spans="1:4">
      <c r="A252" s="2" t="s">
        <v>373</v>
      </c>
      <c r="B252" s="3"/>
      <c r="C252" s="3"/>
      <c r="D252" s="3" t="s">
        <v>374</v>
      </c>
    </row>
    <row r="253" spans="1:4">
      <c r="A253" s="2" t="s">
        <v>375</v>
      </c>
      <c r="B253" s="3"/>
      <c r="C253" s="3"/>
      <c r="D253" s="3" t="s">
        <v>376</v>
      </c>
    </row>
    <row r="254" spans="1:4">
      <c r="A254" s="2" t="s">
        <v>377</v>
      </c>
      <c r="B254" s="3"/>
      <c r="C254" s="3"/>
      <c r="D254" s="3" t="s">
        <v>378</v>
      </c>
    </row>
    <row r="255" spans="1:4">
      <c r="A255" s="2" t="s">
        <v>379</v>
      </c>
      <c r="B255" s="3"/>
      <c r="C255" s="3"/>
      <c r="D255" s="21" t="s">
        <v>372</v>
      </c>
    </row>
    <row r="256" spans="1:4">
      <c r="A256" s="2" t="s">
        <v>380</v>
      </c>
      <c r="B256" s="3"/>
      <c r="C256" s="3"/>
      <c r="D256" s="3" t="s">
        <v>372</v>
      </c>
    </row>
    <row r="257" spans="1:4">
      <c r="A257" s="2" t="s">
        <v>381</v>
      </c>
      <c r="B257" s="3"/>
      <c r="C257" s="3"/>
      <c r="D257" s="3"/>
    </row>
    <row r="258" spans="1:4">
      <c r="A258" s="2" t="s">
        <v>382</v>
      </c>
      <c r="B258" s="3"/>
      <c r="C258" s="3"/>
      <c r="D258" s="3" t="s">
        <v>383</v>
      </c>
    </row>
    <row r="259" spans="1:4">
      <c r="A259" s="2" t="s">
        <v>384</v>
      </c>
      <c r="B259" s="3"/>
      <c r="C259" s="3"/>
      <c r="D259" s="3" t="s">
        <v>383</v>
      </c>
    </row>
    <row r="260" spans="1:4">
      <c r="A260" s="2" t="s">
        <v>385</v>
      </c>
      <c r="B260" s="3"/>
      <c r="C260" s="3"/>
      <c r="D260" s="3"/>
    </row>
    <row r="261" spans="1:4">
      <c r="A261" s="2" t="s">
        <v>386</v>
      </c>
      <c r="B261" s="3"/>
      <c r="C261" s="3"/>
      <c r="D261" s="3" t="s">
        <v>387</v>
      </c>
    </row>
    <row r="262" spans="1:4">
      <c r="A262" s="2" t="s">
        <v>388</v>
      </c>
      <c r="B262" s="3"/>
      <c r="C262" s="3"/>
      <c r="D262" s="3" t="s">
        <v>387</v>
      </c>
    </row>
    <row r="263" spans="1:4">
      <c r="A263" s="2" t="s">
        <v>389</v>
      </c>
      <c r="B263" s="3"/>
      <c r="C263" s="3"/>
      <c r="D263" s="3" t="s">
        <v>387</v>
      </c>
    </row>
    <row r="264" spans="1:4">
      <c r="A264" s="2" t="s">
        <v>390</v>
      </c>
      <c r="B264" s="3"/>
      <c r="C264" s="3"/>
      <c r="D264" s="3" t="s">
        <v>387</v>
      </c>
    </row>
    <row r="265" spans="1:4">
      <c r="A265" s="2" t="s">
        <v>391</v>
      </c>
      <c r="B265" s="3"/>
      <c r="C265" s="3"/>
      <c r="D265" s="3" t="s">
        <v>387</v>
      </c>
    </row>
    <row r="266" spans="1:4">
      <c r="A266" s="2" t="s">
        <v>392</v>
      </c>
      <c r="B266" s="3"/>
      <c r="C266" s="3"/>
      <c r="D266" s="3"/>
    </row>
    <row r="267" spans="1:4">
      <c r="A267" s="2" t="s">
        <v>393</v>
      </c>
      <c r="B267" s="3"/>
      <c r="C267" s="3"/>
      <c r="D267" s="3" t="s">
        <v>394</v>
      </c>
    </row>
    <row r="268" spans="1:4">
      <c r="A268" s="2" t="s">
        <v>395</v>
      </c>
      <c r="B268" s="3"/>
      <c r="C268" s="3"/>
      <c r="D268" s="3" t="s">
        <v>396</v>
      </c>
    </row>
    <row r="269" spans="1:4">
      <c r="A269" s="2" t="s">
        <v>397</v>
      </c>
      <c r="B269" s="3"/>
      <c r="C269" s="3"/>
      <c r="D269" s="3" t="s">
        <v>398</v>
      </c>
    </row>
    <row r="270" spans="1:4">
      <c r="A270" s="2" t="s">
        <v>399</v>
      </c>
      <c r="B270" s="3"/>
      <c r="C270" s="3"/>
      <c r="D270" s="3" t="s">
        <v>400</v>
      </c>
    </row>
    <row r="271" spans="1:4">
      <c r="A271" s="2" t="s">
        <v>401</v>
      </c>
      <c r="B271" s="3"/>
      <c r="C271" s="3"/>
      <c r="D271" s="3" t="s">
        <v>394</v>
      </c>
    </row>
    <row r="272" spans="1:4">
      <c r="A272" s="2" t="s">
        <v>402</v>
      </c>
      <c r="B272" s="3"/>
      <c r="C272" s="3"/>
      <c r="D272" s="3" t="s">
        <v>403</v>
      </c>
    </row>
    <row r="273" spans="1:4">
      <c r="A273" s="2" t="s">
        <v>404</v>
      </c>
      <c r="B273" s="3"/>
      <c r="C273" s="3"/>
      <c r="D273" s="3" t="s">
        <v>405</v>
      </c>
    </row>
    <row r="274" spans="1:4">
      <c r="A274" s="2" t="s">
        <v>406</v>
      </c>
      <c r="B274" s="3"/>
      <c r="C274" s="3"/>
      <c r="D274" s="3" t="s">
        <v>407</v>
      </c>
    </row>
    <row r="275" spans="1:4">
      <c r="A275" s="43" t="s">
        <v>408</v>
      </c>
      <c r="B275" s="43"/>
      <c r="C275" s="43"/>
      <c r="D275" s="43"/>
    </row>
    <row r="276" spans="1:4">
      <c r="A276" s="2" t="s">
        <v>409</v>
      </c>
      <c r="B276" s="3"/>
      <c r="C276" s="3"/>
      <c r="D276" s="3"/>
    </row>
    <row r="277" spans="1:4">
      <c r="A277" s="2" t="s">
        <v>410</v>
      </c>
      <c r="B277" s="3"/>
      <c r="C277" s="3"/>
      <c r="D277" s="21" t="s">
        <v>411</v>
      </c>
    </row>
    <row r="278" spans="1:4">
      <c r="A278" s="2" t="s">
        <v>412</v>
      </c>
      <c r="B278" s="3"/>
      <c r="C278" s="3"/>
      <c r="D278" s="21" t="s">
        <v>411</v>
      </c>
    </row>
    <row r="279" spans="1:4">
      <c r="A279" s="2" t="s">
        <v>413</v>
      </c>
      <c r="B279" s="3"/>
      <c r="C279" s="3"/>
      <c r="D279" s="3" t="s">
        <v>405</v>
      </c>
    </row>
    <row r="280" spans="1:4">
      <c r="A280" s="2" t="s">
        <v>414</v>
      </c>
      <c r="B280" s="3"/>
      <c r="C280" s="3"/>
      <c r="D280" s="3"/>
    </row>
    <row r="281" spans="1:4">
      <c r="A281" s="2" t="s">
        <v>415</v>
      </c>
      <c r="B281" s="3"/>
      <c r="C281" s="3"/>
      <c r="D281" s="3" t="s">
        <v>416</v>
      </c>
    </row>
    <row r="282" spans="1:4">
      <c r="A282" s="2" t="s">
        <v>417</v>
      </c>
      <c r="B282" s="3"/>
      <c r="C282" s="3"/>
      <c r="D282" s="3" t="s">
        <v>416</v>
      </c>
    </row>
    <row r="283" spans="1:4">
      <c r="A283" s="2" t="s">
        <v>418</v>
      </c>
      <c r="B283" s="3"/>
      <c r="C283" s="3"/>
      <c r="D283" s="3" t="s">
        <v>416</v>
      </c>
    </row>
    <row r="284" spans="1:4">
      <c r="A284" s="2" t="s">
        <v>419</v>
      </c>
      <c r="B284" s="3"/>
      <c r="C284" s="3"/>
      <c r="D284" s="3" t="s">
        <v>416</v>
      </c>
    </row>
    <row r="285" spans="1:4">
      <c r="A285" s="2" t="s">
        <v>420</v>
      </c>
      <c r="B285" s="3"/>
      <c r="C285" s="3"/>
      <c r="D285" s="3"/>
    </row>
    <row r="286" spans="1:4">
      <c r="A286" s="2" t="s">
        <v>421</v>
      </c>
      <c r="B286" s="3"/>
      <c r="C286" s="3"/>
      <c r="D286" s="3" t="s">
        <v>422</v>
      </c>
    </row>
    <row r="287" spans="1:4">
      <c r="A287" s="2" t="s">
        <v>423</v>
      </c>
      <c r="B287" s="3"/>
      <c r="C287" s="3"/>
      <c r="D287" s="3" t="s">
        <v>422</v>
      </c>
    </row>
    <row r="288" spans="1:4">
      <c r="A288" s="2" t="s">
        <v>424</v>
      </c>
      <c r="B288" s="3"/>
      <c r="C288" s="3"/>
      <c r="D288" s="3" t="s">
        <v>422</v>
      </c>
    </row>
    <row r="289" spans="1:4">
      <c r="A289" s="2" t="s">
        <v>425</v>
      </c>
      <c r="B289" s="3"/>
      <c r="C289" s="3"/>
      <c r="D289" s="3" t="s">
        <v>422</v>
      </c>
    </row>
    <row r="290" spans="1:4">
      <c r="A290" s="2" t="s">
        <v>426</v>
      </c>
      <c r="B290" s="3"/>
      <c r="C290" s="3"/>
      <c r="D290" s="3"/>
    </row>
    <row r="291" spans="1:4">
      <c r="A291" s="2" t="s">
        <v>427</v>
      </c>
      <c r="B291" s="3"/>
      <c r="C291" s="3"/>
      <c r="D291" s="3" t="s">
        <v>428</v>
      </c>
    </row>
    <row r="292" spans="1:4">
      <c r="A292" s="2" t="s">
        <v>429</v>
      </c>
      <c r="B292" s="3"/>
      <c r="C292" s="3"/>
      <c r="D292" s="3" t="s">
        <v>430</v>
      </c>
    </row>
    <row r="293" spans="1:4">
      <c r="A293" s="2" t="s">
        <v>431</v>
      </c>
      <c r="B293" s="3"/>
      <c r="C293" s="3"/>
      <c r="D293" s="3" t="s">
        <v>432</v>
      </c>
    </row>
    <row r="294" spans="1:4">
      <c r="A294" s="2" t="s">
        <v>433</v>
      </c>
      <c r="B294" s="3"/>
      <c r="C294" s="3"/>
      <c r="D294" s="3" t="s">
        <v>432</v>
      </c>
    </row>
    <row r="295" spans="1:4">
      <c r="A295" s="2" t="s">
        <v>434</v>
      </c>
      <c r="B295" s="3"/>
      <c r="C295" s="3"/>
      <c r="D295" s="3" t="s">
        <v>432</v>
      </c>
    </row>
    <row r="296" spans="1:4">
      <c r="A296" s="2" t="s">
        <v>435</v>
      </c>
      <c r="B296" s="3"/>
      <c r="C296" s="3"/>
      <c r="D296" s="3"/>
    </row>
    <row r="297" spans="1:4">
      <c r="A297" s="2" t="s">
        <v>436</v>
      </c>
      <c r="B297" s="3"/>
      <c r="C297" s="3"/>
      <c r="D297" s="3" t="s">
        <v>437</v>
      </c>
    </row>
    <row r="298" spans="1:4">
      <c r="A298" s="2" t="s">
        <v>438</v>
      </c>
      <c r="B298" s="3"/>
      <c r="C298" s="3"/>
      <c r="D298" s="3" t="s">
        <v>439</v>
      </c>
    </row>
    <row r="299" spans="1:4">
      <c r="A299" s="2" t="s">
        <v>440</v>
      </c>
      <c r="B299" s="3"/>
      <c r="C299" s="3"/>
      <c r="D299" s="3" t="s">
        <v>441</v>
      </c>
    </row>
    <row r="300" spans="1:4">
      <c r="A300" s="2" t="s">
        <v>442</v>
      </c>
      <c r="B300" s="3"/>
      <c r="C300" s="3"/>
      <c r="D300" s="3" t="s">
        <v>443</v>
      </c>
    </row>
    <row r="301" spans="1:4" ht="30">
      <c r="A301" s="2" t="s">
        <v>444</v>
      </c>
      <c r="B301" s="3"/>
      <c r="C301" s="3"/>
      <c r="D301" s="3" t="s">
        <v>445</v>
      </c>
    </row>
    <row r="302" spans="1:4">
      <c r="A302" s="2" t="s">
        <v>446</v>
      </c>
      <c r="B302" s="3"/>
      <c r="C302" s="3"/>
      <c r="D302" s="3" t="s">
        <v>447</v>
      </c>
    </row>
    <row r="303" spans="1:4">
      <c r="A303" s="2" t="s">
        <v>448</v>
      </c>
      <c r="B303" s="3"/>
      <c r="C303" s="3"/>
      <c r="D303" s="3" t="s">
        <v>449</v>
      </c>
    </row>
    <row r="304" spans="1:4">
      <c r="A304" s="2" t="s">
        <v>450</v>
      </c>
      <c r="B304" s="3"/>
      <c r="C304" s="3"/>
      <c r="D304" s="3" t="s">
        <v>441</v>
      </c>
    </row>
    <row r="305" spans="1:4">
      <c r="A305" s="2" t="s">
        <v>451</v>
      </c>
      <c r="B305" s="3"/>
      <c r="C305" s="3"/>
      <c r="D305" s="3"/>
    </row>
    <row r="306" spans="1:4">
      <c r="A306" s="2" t="s">
        <v>452</v>
      </c>
      <c r="B306" s="3"/>
      <c r="C306" s="3"/>
      <c r="D306" s="3" t="s">
        <v>453</v>
      </c>
    </row>
    <row r="307" spans="1:4">
      <c r="A307" s="2" t="s">
        <v>454</v>
      </c>
      <c r="B307" s="3"/>
      <c r="C307" s="3"/>
      <c r="D307" s="3" t="s">
        <v>453</v>
      </c>
    </row>
    <row r="308" spans="1:4">
      <c r="A308" s="2" t="s">
        <v>455</v>
      </c>
      <c r="B308" s="3"/>
      <c r="C308" s="3"/>
      <c r="D308" s="3"/>
    </row>
    <row r="309" spans="1:4">
      <c r="A309" s="2" t="s">
        <v>456</v>
      </c>
      <c r="B309" s="3"/>
      <c r="C309" s="3"/>
      <c r="D309" s="3" t="s">
        <v>457</v>
      </c>
    </row>
    <row r="310" spans="1:4">
      <c r="A310" s="2" t="s">
        <v>458</v>
      </c>
      <c r="B310" s="3"/>
      <c r="C310" s="3"/>
      <c r="D310" s="3" t="s">
        <v>459</v>
      </c>
    </row>
    <row r="311" spans="1:4">
      <c r="A311" s="43" t="s">
        <v>460</v>
      </c>
      <c r="B311" s="43"/>
      <c r="C311" s="43"/>
      <c r="D311" s="43"/>
    </row>
    <row r="312" spans="1:4">
      <c r="A312" s="2" t="s">
        <v>461</v>
      </c>
      <c r="B312" s="3"/>
      <c r="C312" s="3"/>
      <c r="D312" s="3"/>
    </row>
    <row r="313" spans="1:4">
      <c r="A313" s="2" t="s">
        <v>462</v>
      </c>
      <c r="B313" s="3"/>
      <c r="C313" s="3"/>
      <c r="D313" s="3"/>
    </row>
    <row r="314" spans="1:4">
      <c r="A314" s="2" t="s">
        <v>463</v>
      </c>
      <c r="B314" s="3"/>
      <c r="C314" s="3"/>
      <c r="D314" s="3"/>
    </row>
    <row r="315" spans="1:4">
      <c r="A315" s="2" t="s">
        <v>464</v>
      </c>
      <c r="B315" s="3"/>
      <c r="C315" s="3"/>
      <c r="D315" s="3"/>
    </row>
    <row r="316" spans="1:4">
      <c r="A316" s="2" t="s">
        <v>465</v>
      </c>
      <c r="B316" s="3"/>
      <c r="C316" s="3"/>
      <c r="D316" s="3"/>
    </row>
    <row r="317" spans="1:4">
      <c r="A317" s="2" t="s">
        <v>466</v>
      </c>
      <c r="B317" s="3"/>
      <c r="C317" s="3"/>
      <c r="D317" s="3"/>
    </row>
    <row r="318" spans="1:4">
      <c r="A318" s="2" t="s">
        <v>467</v>
      </c>
      <c r="B318" s="3"/>
      <c r="C318" s="3"/>
      <c r="D318" s="3"/>
    </row>
    <row r="319" spans="1:4">
      <c r="A319" s="2" t="s">
        <v>468</v>
      </c>
      <c r="B319" s="3"/>
      <c r="C319" s="3"/>
      <c r="D319" s="3"/>
    </row>
    <row r="320" spans="1:4">
      <c r="A320" s="2" t="s">
        <v>469</v>
      </c>
      <c r="B320" s="3"/>
      <c r="C320" s="3"/>
      <c r="D320" s="3"/>
    </row>
    <row r="321" spans="1:4">
      <c r="A321" s="2" t="s">
        <v>470</v>
      </c>
      <c r="B321" s="3"/>
      <c r="C321" s="3"/>
      <c r="D321" s="3"/>
    </row>
    <row r="322" spans="1:4">
      <c r="A322" s="43" t="s">
        <v>471</v>
      </c>
      <c r="B322" s="43"/>
      <c r="C322" s="43"/>
      <c r="D322" s="43"/>
    </row>
  </sheetData>
  <mergeCells count="12">
    <mergeCell ref="A322:D322"/>
    <mergeCell ref="A1:A2"/>
    <mergeCell ref="B1:C1"/>
    <mergeCell ref="D1:D2"/>
    <mergeCell ref="A3:D3"/>
    <mergeCell ref="A58:D58"/>
    <mergeCell ref="A85:D85"/>
    <mergeCell ref="A109:D109"/>
    <mergeCell ref="A172:D172"/>
    <mergeCell ref="A207:D207"/>
    <mergeCell ref="A275:D275"/>
    <mergeCell ref="A311:D31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22"/>
  <sheetViews>
    <sheetView topLeftCell="A89" workbookViewId="0">
      <selection activeCell="A69" sqref="A69:A122"/>
    </sheetView>
  </sheetViews>
  <sheetFormatPr defaultRowHeight="15"/>
  <cols>
    <col min="1" max="1" width="9.140625" style="11"/>
    <col min="3" max="3" width="67.140625" customWidth="1"/>
    <col min="4" max="4" width="58.85546875" customWidth="1"/>
    <col min="5" max="5" width="14.140625" style="14" customWidth="1"/>
    <col min="6" max="6" width="13" style="14" customWidth="1"/>
    <col min="7" max="7" width="14.5703125" style="14" customWidth="1"/>
    <col min="8" max="8" width="17.85546875" style="14" customWidth="1"/>
  </cols>
  <sheetData>
    <row r="1" spans="1:8" s="16" customFormat="1" ht="30">
      <c r="A1" s="4" t="s">
        <v>886</v>
      </c>
      <c r="B1" s="16" t="s">
        <v>873</v>
      </c>
      <c r="C1" s="16" t="s">
        <v>874</v>
      </c>
      <c r="D1" s="16" t="s">
        <v>875</v>
      </c>
      <c r="E1" s="17" t="s">
        <v>876</v>
      </c>
      <c r="F1" s="17" t="s">
        <v>877</v>
      </c>
      <c r="G1" s="17" t="s">
        <v>878</v>
      </c>
      <c r="H1" s="18" t="s">
        <v>879</v>
      </c>
    </row>
    <row r="2" spans="1:8">
      <c r="A2" s="11">
        <v>1</v>
      </c>
      <c r="C2" s="12" t="s">
        <v>546</v>
      </c>
      <c r="E2" s="14">
        <f>E3+E4+E32+E63</f>
        <v>477341.88</v>
      </c>
      <c r="F2" s="14">
        <f>F3+F4+F32+F63</f>
        <v>0</v>
      </c>
      <c r="G2" s="14">
        <f>E2-F2</f>
        <v>477341.88</v>
      </c>
    </row>
    <row r="3" spans="1:8">
      <c r="A3" s="11">
        <v>2</v>
      </c>
      <c r="B3" s="9" t="s">
        <v>212</v>
      </c>
      <c r="C3" s="8" t="s">
        <v>478</v>
      </c>
      <c r="D3" s="8">
        <v>353</v>
      </c>
      <c r="E3" s="14">
        <f>IFERROR(VLOOKUP(353,obrat_syntetických_účtů!$B$2:$F$1000,5,FALSE),0)</f>
        <v>0</v>
      </c>
      <c r="G3" s="14">
        <f>E3-F3</f>
        <v>0</v>
      </c>
    </row>
    <row r="4" spans="1:8">
      <c r="A4" s="11">
        <v>3</v>
      </c>
      <c r="B4" s="9" t="s">
        <v>479</v>
      </c>
      <c r="C4" s="8" t="s">
        <v>480</v>
      </c>
      <c r="D4" s="8" t="s">
        <v>547</v>
      </c>
      <c r="E4" s="14">
        <f>E5+E14+E24</f>
        <v>335957</v>
      </c>
      <c r="F4" s="14">
        <f>F5+F14+F24</f>
        <v>0</v>
      </c>
      <c r="G4" s="14">
        <f t="shared" ref="G4:G66" si="0">E4-F4</f>
        <v>335957</v>
      </c>
    </row>
    <row r="5" spans="1:8">
      <c r="A5" s="11">
        <v>4</v>
      </c>
      <c r="B5" s="9" t="s">
        <v>482</v>
      </c>
      <c r="C5" s="8" t="s">
        <v>483</v>
      </c>
      <c r="D5" s="10" t="s">
        <v>548</v>
      </c>
      <c r="E5" s="14">
        <f>SUM(E6:E13)</f>
        <v>0</v>
      </c>
      <c r="F5" s="14">
        <f>SUM(F6:F13)</f>
        <v>0</v>
      </c>
      <c r="G5" s="14">
        <f t="shared" si="0"/>
        <v>0</v>
      </c>
    </row>
    <row r="6" spans="1:8">
      <c r="A6" s="11">
        <v>5</v>
      </c>
      <c r="B6" s="9" t="s">
        <v>8</v>
      </c>
      <c r="C6" s="8" t="s">
        <v>549</v>
      </c>
      <c r="D6" s="8" t="s">
        <v>550</v>
      </c>
      <c r="E6" s="14">
        <f>IFERROR(VLOOKUP(11,obrat_syntetických_účtů!$B$2:$F$1000,5,FALSE),0)</f>
        <v>0</v>
      </c>
      <c r="F6" s="20">
        <f>IFERROR(VLOOKUP(71,obrat_syntetických_účtů!$B$2:$F$1000,5,FALSE),0)</f>
        <v>0</v>
      </c>
      <c r="G6" s="14">
        <f t="shared" si="0"/>
        <v>0</v>
      </c>
    </row>
    <row r="7" spans="1:8">
      <c r="A7" s="11">
        <v>6</v>
      </c>
      <c r="B7" s="9" t="s">
        <v>551</v>
      </c>
      <c r="C7" s="8" t="s">
        <v>552</v>
      </c>
      <c r="D7" s="8" t="s">
        <v>553</v>
      </c>
      <c r="E7" s="14">
        <f>IFERROR(VLOOKUP(12,obrat_syntetických_účtů!$B$2:$F$1000,5,FALSE),0)</f>
        <v>0</v>
      </c>
      <c r="F7" s="20">
        <f>IFERROR(VLOOKUP(72,obrat_syntetických_účtů!$B$2:$F$1000,5,FALSE),0)</f>
        <v>0</v>
      </c>
      <c r="G7" s="14">
        <f t="shared" si="0"/>
        <v>0</v>
      </c>
    </row>
    <row r="8" spans="1:8">
      <c r="A8" s="11">
        <v>7</v>
      </c>
      <c r="B8" s="9" t="s">
        <v>554</v>
      </c>
      <c r="C8" s="8" t="s">
        <v>555</v>
      </c>
      <c r="D8" s="8" t="s">
        <v>556</v>
      </c>
      <c r="E8" s="14">
        <f>IFERROR(VLOOKUP(13,obrat_syntetických_účtů!$B$2:$F$1000,5,FALSE),0)</f>
        <v>0</v>
      </c>
      <c r="F8" s="20">
        <f>IFERROR(VLOOKUP(73,obrat_syntetických_účtů!$B$2:$F$1000,5,FALSE),0)</f>
        <v>0</v>
      </c>
      <c r="G8" s="14">
        <f t="shared" si="0"/>
        <v>0</v>
      </c>
    </row>
    <row r="9" spans="1:8">
      <c r="A9" s="11">
        <v>8</v>
      </c>
      <c r="B9" s="9" t="s">
        <v>557</v>
      </c>
      <c r="C9" s="8" t="s">
        <v>558</v>
      </c>
      <c r="D9" s="8" t="s">
        <v>559</v>
      </c>
      <c r="E9" s="14">
        <f>IFERROR(VLOOKUP(14,obrat_syntetických_účtů!$B$2:$F$1000,5,FALSE),0)</f>
        <v>0</v>
      </c>
      <c r="F9" s="20">
        <f>IFERROR(VLOOKUP(74,obrat_syntetických_účtů!$B$2:$F$1000,5,FALSE),0)</f>
        <v>0</v>
      </c>
      <c r="G9" s="14">
        <f t="shared" si="0"/>
        <v>0</v>
      </c>
    </row>
    <row r="10" spans="1:8">
      <c r="A10" s="11">
        <v>9</v>
      </c>
      <c r="B10" s="9" t="s">
        <v>560</v>
      </c>
      <c r="C10" s="8" t="s">
        <v>561</v>
      </c>
      <c r="D10" s="8" t="s">
        <v>562</v>
      </c>
      <c r="E10" s="14">
        <f>IFERROR(VLOOKUP(15,obrat_syntetických_účtů!$B$2:$F$1000,5,FALSE),0)</f>
        <v>0</v>
      </c>
      <c r="F10" s="20">
        <f>IFERROR(VLOOKUP(75,obrat_syntetických_účtů!$B$2:$F$1000,5,FALSE),0)</f>
        <v>0</v>
      </c>
      <c r="G10" s="14">
        <f t="shared" si="0"/>
        <v>0</v>
      </c>
    </row>
    <row r="11" spans="1:8">
      <c r="A11" s="11">
        <v>10</v>
      </c>
      <c r="B11" s="9" t="s">
        <v>563</v>
      </c>
      <c r="C11" s="8" t="s">
        <v>564</v>
      </c>
      <c r="D11" s="8" t="s">
        <v>565</v>
      </c>
      <c r="E11" s="14">
        <f>IFERROR(VLOOKUP(19,obrat_syntetických_účtů!$B$2:$F$1000,5,FALSE),0)</f>
        <v>0</v>
      </c>
      <c r="F11" s="20">
        <f>IFERROR(VLOOKUP(79,obrat_syntetických_účtů!$B$2:$F$1000,5,FALSE),0)</f>
        <v>0</v>
      </c>
      <c r="G11" s="14">
        <f t="shared" si="0"/>
        <v>0</v>
      </c>
    </row>
    <row r="12" spans="1:8">
      <c r="A12" s="11">
        <v>11</v>
      </c>
      <c r="B12" s="9" t="s">
        <v>566</v>
      </c>
      <c r="C12" s="8" t="s">
        <v>567</v>
      </c>
      <c r="D12" s="8" t="s">
        <v>568</v>
      </c>
      <c r="E12" s="14">
        <f>IFERROR(VLOOKUP(41,obrat_syntetických_účtů!$B$2:$F$1000,5,FALSE),0)</f>
        <v>0</v>
      </c>
      <c r="F12" s="14">
        <f>IFERROR(VLOOKUP(93,obrat_syntetických_účtů!$B$2:$F$1000,5,FALSE),0)</f>
        <v>0</v>
      </c>
      <c r="G12" s="14">
        <f t="shared" si="0"/>
        <v>0</v>
      </c>
    </row>
    <row r="13" spans="1:8">
      <c r="A13" s="11">
        <v>12</v>
      </c>
      <c r="B13" s="9" t="s">
        <v>569</v>
      </c>
      <c r="C13" s="8" t="s">
        <v>570</v>
      </c>
      <c r="D13" s="8" t="s">
        <v>571</v>
      </c>
      <c r="E13" s="14">
        <f>IFERROR(VLOOKUP(51,obrat_syntetických_účtů!$B$2:$F$1000,5,FALSE),0)</f>
        <v>0</v>
      </c>
      <c r="F13" s="20"/>
      <c r="G13" s="14">
        <f t="shared" si="0"/>
        <v>0</v>
      </c>
    </row>
    <row r="14" spans="1:8">
      <c r="A14" s="11">
        <v>13</v>
      </c>
      <c r="B14" s="9" t="s">
        <v>486</v>
      </c>
      <c r="C14" s="8" t="s">
        <v>487</v>
      </c>
      <c r="D14" s="10" t="s">
        <v>572</v>
      </c>
      <c r="E14" s="14">
        <f>SUM(E15:E23)</f>
        <v>335957</v>
      </c>
      <c r="F14" s="14">
        <f>SUM(F15:F23)</f>
        <v>0</v>
      </c>
      <c r="G14" s="14">
        <f t="shared" si="0"/>
        <v>335957</v>
      </c>
    </row>
    <row r="15" spans="1:8">
      <c r="A15" s="11">
        <v>14</v>
      </c>
      <c r="B15" s="9" t="s">
        <v>32</v>
      </c>
      <c r="C15" s="8" t="s">
        <v>573</v>
      </c>
      <c r="D15" s="8" t="s">
        <v>574</v>
      </c>
      <c r="E15" s="14">
        <f>IFERROR(VLOOKUP(31,obrat_syntetických_účtů!$B$2:$F$1000,5,FALSE),0)</f>
        <v>0</v>
      </c>
      <c r="F15" s="20"/>
      <c r="G15" s="14">
        <f t="shared" si="0"/>
        <v>0</v>
      </c>
    </row>
    <row r="16" spans="1:8">
      <c r="A16" s="11">
        <v>15</v>
      </c>
      <c r="B16" s="9" t="s">
        <v>551</v>
      </c>
      <c r="C16" s="8" t="s">
        <v>575</v>
      </c>
      <c r="D16" s="8" t="s">
        <v>576</v>
      </c>
      <c r="E16" s="14">
        <f>IFERROR(VLOOKUP(21,obrat_syntetických_účtů!$B$2:$F$1000,5,FALSE),0)</f>
        <v>0</v>
      </c>
      <c r="F16" s="20">
        <f>IFERROR(VLOOKUP(81,obrat_syntetických_účtů!$B$2:$F$1000,5,FALSE),0)</f>
        <v>0</v>
      </c>
      <c r="G16" s="14">
        <f t="shared" si="0"/>
        <v>0</v>
      </c>
    </row>
    <row r="17" spans="1:7">
      <c r="A17" s="11">
        <v>16</v>
      </c>
      <c r="B17" s="9" t="s">
        <v>554</v>
      </c>
      <c r="C17" s="8" t="s">
        <v>577</v>
      </c>
      <c r="D17" s="8" t="s">
        <v>578</v>
      </c>
      <c r="E17" s="14">
        <f>IFERROR(VLOOKUP(22,obrat_syntetických_účtů!$B$2:$F$1000,5,FALSE),0)</f>
        <v>0</v>
      </c>
      <c r="F17" s="20">
        <f>IFERROR(VLOOKUP(82,obrat_syntetických_účtů!$B$2:$F$1000,5,FALSE),0)</f>
        <v>0</v>
      </c>
      <c r="G17" s="14">
        <f t="shared" si="0"/>
        <v>0</v>
      </c>
    </row>
    <row r="18" spans="1:7">
      <c r="A18" s="11">
        <v>17</v>
      </c>
      <c r="B18" s="9" t="s">
        <v>557</v>
      </c>
      <c r="C18" s="8" t="s">
        <v>579</v>
      </c>
      <c r="D18" s="8" t="s">
        <v>580</v>
      </c>
      <c r="E18" s="14">
        <f>IFERROR(VLOOKUP(25,obrat_syntetických_účtů!$B$2:$F$1000,5,FALSE),0)</f>
        <v>0</v>
      </c>
      <c r="F18" s="20">
        <f>IFERROR(VLOOKUP(85,obrat_syntetických_účtů!$B$2:$F$1000,5,FALSE),0)</f>
        <v>0</v>
      </c>
      <c r="G18" s="14">
        <f t="shared" si="0"/>
        <v>0</v>
      </c>
    </row>
    <row r="19" spans="1:7">
      <c r="A19" s="11">
        <v>18</v>
      </c>
      <c r="B19" s="9" t="s">
        <v>560</v>
      </c>
      <c r="C19" s="8" t="s">
        <v>581</v>
      </c>
      <c r="D19" s="8" t="s">
        <v>582</v>
      </c>
      <c r="E19" s="14">
        <f>IFERROR(VLOOKUP(26,obrat_syntetických_účtů!$B$2:$F$1000,5,FALSE),0)</f>
        <v>0</v>
      </c>
      <c r="F19" s="20">
        <f>IFERROR(VLOOKUP(86,obrat_syntetických_účtů!$B$2:$F$1000,5,FALSE),0)</f>
        <v>0</v>
      </c>
      <c r="G19" s="14">
        <f t="shared" si="0"/>
        <v>0</v>
      </c>
    </row>
    <row r="20" spans="1:7">
      <c r="A20" s="11">
        <v>19</v>
      </c>
      <c r="B20" s="9" t="s">
        <v>563</v>
      </c>
      <c r="C20" s="8" t="s">
        <v>583</v>
      </c>
      <c r="D20" s="8" t="s">
        <v>584</v>
      </c>
      <c r="E20" s="14">
        <f>IFERROR(VLOOKUP(29,obrat_syntetických_účtů!$B$2:$F$1000,5,FALSE),0)+IFERROR(VLOOKUP(32,obrat_syntetických_účtů!$B$2:$F$1000,5,FALSE),0)</f>
        <v>0</v>
      </c>
      <c r="F20" s="20">
        <f>IFERROR(VLOOKUP(89,obrat_syntetických_účtů!$B$2:$F$1000,5,FALSE),0)</f>
        <v>0</v>
      </c>
      <c r="G20" s="14">
        <f t="shared" si="0"/>
        <v>0</v>
      </c>
    </row>
    <row r="21" spans="1:7">
      <c r="A21" s="11">
        <v>20</v>
      </c>
      <c r="B21" s="9" t="s">
        <v>566</v>
      </c>
      <c r="C21" s="8" t="s">
        <v>585</v>
      </c>
      <c r="D21" s="8" t="s">
        <v>586</v>
      </c>
      <c r="E21" s="14">
        <f>IFERROR(VLOOKUP(42,obrat_syntetických_účtů!$B$2:$F$1000,5,FALSE),0)</f>
        <v>335957</v>
      </c>
      <c r="F21" s="14">
        <f>IFERROR(VLOOKUP(94,obrat_syntetických_účtů!$B$2:$F$1000,5,FALSE),0)</f>
        <v>0</v>
      </c>
      <c r="G21" s="14">
        <f t="shared" si="0"/>
        <v>335957</v>
      </c>
    </row>
    <row r="22" spans="1:7">
      <c r="A22" s="11">
        <v>21</v>
      </c>
      <c r="B22" s="9" t="s">
        <v>569</v>
      </c>
      <c r="C22" s="8" t="s">
        <v>587</v>
      </c>
      <c r="D22" s="8" t="s">
        <v>588</v>
      </c>
      <c r="E22" s="14">
        <f>IFERROR(VLOOKUP(52,obrat_syntetických_účtů!$B$2:$F$1000,5,FALSE),0)</f>
        <v>0</v>
      </c>
      <c r="F22" s="20"/>
      <c r="G22" s="14">
        <f t="shared" si="0"/>
        <v>0</v>
      </c>
    </row>
    <row r="23" spans="1:7">
      <c r="A23" s="11">
        <v>22</v>
      </c>
      <c r="B23" s="9" t="s">
        <v>589</v>
      </c>
      <c r="C23" s="8" t="s">
        <v>590</v>
      </c>
      <c r="D23" s="8" t="s">
        <v>591</v>
      </c>
      <c r="E23" s="14">
        <f>IFERROR(VLOOKUP(97,obrat_syntetických_účtů!$B$2:$F$1000,5,FALSE),0)</f>
        <v>0</v>
      </c>
      <c r="F23" s="14">
        <f>IFERROR(VLOOKUP(98,obrat_syntetických_účtů!$B$2:$F$1000,5,FALSE),0)</f>
        <v>0</v>
      </c>
      <c r="G23" s="14">
        <f t="shared" si="0"/>
        <v>0</v>
      </c>
    </row>
    <row r="24" spans="1:7">
      <c r="A24" s="11">
        <v>23</v>
      </c>
      <c r="B24" s="9" t="s">
        <v>490</v>
      </c>
      <c r="C24" s="8" t="s">
        <v>491</v>
      </c>
      <c r="D24" s="10" t="s">
        <v>592</v>
      </c>
      <c r="E24" s="14">
        <f>SUM(E25:E31)</f>
        <v>0</v>
      </c>
      <c r="F24" s="14">
        <f>SUM(F25:F31)</f>
        <v>0</v>
      </c>
      <c r="G24" s="14">
        <f t="shared" si="0"/>
        <v>0</v>
      </c>
    </row>
    <row r="25" spans="1:7">
      <c r="A25" s="11">
        <v>24</v>
      </c>
      <c r="B25" s="9" t="s">
        <v>50</v>
      </c>
      <c r="C25" s="8" t="s">
        <v>593</v>
      </c>
      <c r="D25" s="8" t="s">
        <v>594</v>
      </c>
      <c r="E25" s="14">
        <f>IFERROR(VLOOKUP(61,obrat_syntetických_účtů!$B$2:$F$1000,5,FALSE),0)</f>
        <v>0</v>
      </c>
      <c r="F25" s="20"/>
      <c r="G25" s="14">
        <f t="shared" si="0"/>
        <v>0</v>
      </c>
    </row>
    <row r="26" spans="1:7">
      <c r="A26" s="11">
        <v>25</v>
      </c>
      <c r="B26" s="9" t="s">
        <v>551</v>
      </c>
      <c r="C26" s="8" t="s">
        <v>595</v>
      </c>
      <c r="D26" s="8" t="s">
        <v>596</v>
      </c>
      <c r="E26" s="14">
        <f>IFERROR(VLOOKUP(62,obrat_syntetických_účtů!$B$2:$F$1000,5,FALSE),0)</f>
        <v>0</v>
      </c>
      <c r="F26" s="20"/>
      <c r="G26" s="14">
        <f t="shared" si="0"/>
        <v>0</v>
      </c>
    </row>
    <row r="27" spans="1:7">
      <c r="A27" s="11">
        <v>26</v>
      </c>
      <c r="B27" s="9" t="s">
        <v>554</v>
      </c>
      <c r="C27" s="8" t="s">
        <v>597</v>
      </c>
      <c r="D27" s="8" t="s">
        <v>598</v>
      </c>
      <c r="E27" s="14">
        <f>IFERROR(VLOOKUP(63,obrat_syntetických_účtů!$B$2:$F$1000,5,FALSE),0)+IFERROR(VLOOKUP(65,obrat_syntetických_účtů!$B$2:$F$1000,5,FALSE),0)</f>
        <v>0</v>
      </c>
      <c r="F27" s="20"/>
      <c r="G27" s="14">
        <f t="shared" si="0"/>
        <v>0</v>
      </c>
    </row>
    <row r="28" spans="1:7" ht="30">
      <c r="A28" s="11">
        <v>27</v>
      </c>
      <c r="B28" s="9" t="s">
        <v>557</v>
      </c>
      <c r="C28" s="8" t="s">
        <v>599</v>
      </c>
      <c r="D28" s="8" t="s">
        <v>600</v>
      </c>
      <c r="E28" s="14">
        <f>IFERROR(VLOOKUP(66,obrat_syntetických_účtů!$B$2:$F$1000,5,FALSE),0)</f>
        <v>0</v>
      </c>
      <c r="F28" s="20"/>
      <c r="G28" s="14">
        <f t="shared" si="0"/>
        <v>0</v>
      </c>
    </row>
    <row r="29" spans="1:7">
      <c r="A29" s="11">
        <v>28</v>
      </c>
      <c r="B29" s="9" t="s">
        <v>560</v>
      </c>
      <c r="C29" s="8" t="s">
        <v>601</v>
      </c>
      <c r="D29" s="8" t="s">
        <v>602</v>
      </c>
      <c r="E29" s="14">
        <f>IFERROR(VLOOKUP(67,obrat_syntetických_účtů!$B$2:$F$1000,5,FALSE),0)+IFERROR(VLOOKUP(69,obrat_syntetických_účtů!$B$2:$F$1000,5,FALSE),0)</f>
        <v>0</v>
      </c>
      <c r="F29" s="20"/>
      <c r="G29" s="14">
        <f t="shared" si="0"/>
        <v>0</v>
      </c>
    </row>
    <row r="30" spans="1:7">
      <c r="A30" s="11">
        <v>29</v>
      </c>
      <c r="B30" s="9" t="s">
        <v>563</v>
      </c>
      <c r="C30" s="8" t="s">
        <v>603</v>
      </c>
      <c r="D30" s="8" t="s">
        <v>604</v>
      </c>
      <c r="E30" s="14">
        <f>IFERROR(VLOOKUP(43,obrat_syntetických_účtů!$B$2:$F$1000,5,FALSE),0)</f>
        <v>0</v>
      </c>
      <c r="F30" s="20"/>
      <c r="G30" s="14">
        <f t="shared" si="0"/>
        <v>0</v>
      </c>
    </row>
    <row r="31" spans="1:7">
      <c r="A31" s="11">
        <v>30</v>
      </c>
      <c r="B31" s="9" t="s">
        <v>566</v>
      </c>
      <c r="C31" s="8" t="s">
        <v>605</v>
      </c>
      <c r="D31" s="8" t="s">
        <v>606</v>
      </c>
      <c r="E31" s="14">
        <f>IFERROR(VLOOKUP(53,obrat_syntetických_účtů!$B$2:$F$1000,5,FALSE),0)</f>
        <v>0</v>
      </c>
      <c r="F31" s="20"/>
      <c r="G31" s="14">
        <f t="shared" si="0"/>
        <v>0</v>
      </c>
    </row>
    <row r="32" spans="1:7">
      <c r="A32" s="11">
        <v>31</v>
      </c>
      <c r="B32" s="9" t="s">
        <v>494</v>
      </c>
      <c r="C32" s="8" t="s">
        <v>495</v>
      </c>
      <c r="D32" s="8" t="s">
        <v>496</v>
      </c>
      <c r="E32" s="14">
        <f>E33+E40+E48+E58</f>
        <v>141384.88</v>
      </c>
      <c r="F32" s="14">
        <f>F33+F40+F48+F58</f>
        <v>0</v>
      </c>
      <c r="G32" s="14">
        <f t="shared" si="0"/>
        <v>141384.88</v>
      </c>
    </row>
    <row r="33" spans="1:7">
      <c r="A33" s="11">
        <v>32</v>
      </c>
      <c r="B33" s="9" t="s">
        <v>497</v>
      </c>
      <c r="C33" s="8" t="s">
        <v>498</v>
      </c>
      <c r="D33" s="10" t="s">
        <v>607</v>
      </c>
      <c r="E33" s="14">
        <f>SUM(E34:E39)</f>
        <v>0</v>
      </c>
      <c r="F33" s="14">
        <f>SUM(F34:F39)</f>
        <v>0</v>
      </c>
      <c r="G33" s="14">
        <f t="shared" si="0"/>
        <v>0</v>
      </c>
    </row>
    <row r="34" spans="1:7">
      <c r="A34" s="11">
        <v>33</v>
      </c>
      <c r="B34" s="9" t="s">
        <v>104</v>
      </c>
      <c r="C34" s="8" t="s">
        <v>608</v>
      </c>
      <c r="D34" s="8" t="s">
        <v>609</v>
      </c>
      <c r="E34" s="14">
        <f>IFERROR(VLOOKUP(111,obrat_syntetických_účtů!$B$2:$F$1000,5,FALSE),0)+IFERROR(VLOOKUP(112,obrat_syntetických_účtů!$B$2:$F$1000,5,FALSE),0)+IFERROR(VLOOKUP(119,obrat_syntetických_účtů!$B$2:$F$1000,5,FALSE),0)</f>
        <v>0</v>
      </c>
      <c r="F34" s="14">
        <f>IFERROR(VLOOKUP(191,obrat_syntetických_účtů!$B$2:$F$1000,5,FALSE),0)</f>
        <v>0</v>
      </c>
      <c r="G34" s="14">
        <f t="shared" si="0"/>
        <v>0</v>
      </c>
    </row>
    <row r="35" spans="1:7">
      <c r="A35" s="11">
        <v>34</v>
      </c>
      <c r="B35" s="9" t="s">
        <v>551</v>
      </c>
      <c r="C35" s="8" t="s">
        <v>610</v>
      </c>
      <c r="D35" s="8" t="s">
        <v>611</v>
      </c>
      <c r="E35" s="14">
        <f>IFERROR(VLOOKUP(121,obrat_syntetických_účtů!$B$2:$F$1000,5,FALSE),0)+IFERROR(VLOOKUP(122,obrat_syntetických_účtů!$B$2:$F$1000,5,FALSE),0)</f>
        <v>0</v>
      </c>
      <c r="F35" s="14">
        <f>IFERROR(VLOOKUP(192,obrat_syntetických_účtů!$B$2:$F$1000,5,FALSE),0)+IFERROR(VLOOKUP(193,obrat_syntetických_účtů!$B$2:$F$1000,5,FALSE),0)</f>
        <v>0</v>
      </c>
      <c r="G35" s="14">
        <f t="shared" si="0"/>
        <v>0</v>
      </c>
    </row>
    <row r="36" spans="1:7">
      <c r="A36" s="11">
        <v>35</v>
      </c>
      <c r="B36" s="9" t="s">
        <v>554</v>
      </c>
      <c r="C36" s="8" t="s">
        <v>612</v>
      </c>
      <c r="D36" s="8" t="s">
        <v>613</v>
      </c>
      <c r="E36" s="14">
        <f>IFERROR(VLOOKUP(123,obrat_syntetických_účtů!$B$2:$F$1000,5,FALSE),0)</f>
        <v>0</v>
      </c>
      <c r="F36" s="14">
        <f>IFERROR(VLOOKUP(194,obrat_syntetických_účtů!$B$2:$F$1000,5,FALSE),0)</f>
        <v>0</v>
      </c>
      <c r="G36" s="14">
        <f t="shared" si="0"/>
        <v>0</v>
      </c>
    </row>
    <row r="37" spans="1:7">
      <c r="A37" s="11">
        <v>36</v>
      </c>
      <c r="B37" s="9" t="s">
        <v>557</v>
      </c>
      <c r="C37" s="8" t="s">
        <v>614</v>
      </c>
      <c r="D37" s="8" t="s">
        <v>615</v>
      </c>
      <c r="E37" s="14">
        <f>IFERROR(VLOOKUP(124,obrat_syntetických_účtů!$B$2:$F$1000,5,FALSE),0)</f>
        <v>0</v>
      </c>
      <c r="F37" s="14">
        <f>IFERROR(VLOOKUP(195,obrat_syntetických_účtů!$B$2:$F$1000,5,FALSE),0)</f>
        <v>0</v>
      </c>
      <c r="G37" s="14">
        <f t="shared" si="0"/>
        <v>0</v>
      </c>
    </row>
    <row r="38" spans="1:7">
      <c r="A38" s="11">
        <v>37</v>
      </c>
      <c r="B38" s="9" t="s">
        <v>560</v>
      </c>
      <c r="C38" s="8" t="s">
        <v>616</v>
      </c>
      <c r="D38" s="8" t="s">
        <v>617</v>
      </c>
      <c r="E38" s="14">
        <f>IFERROR(VLOOKUP(131,obrat_syntetických_účtů!$B$2:$F$1000,5,FALSE),0)+IFERROR(VLOOKUP(132,obrat_syntetických_účtů!$B$2:$F$1000,5,FALSE),0)+IFERROR(VLOOKUP(139,obrat_syntetických_účtů!$B$2:$F$1000,5,FALSE),0)</f>
        <v>0</v>
      </c>
      <c r="F38" s="14">
        <f>IFERROR(VLOOKUP(196,obrat_syntetických_účtů!$B$2:$F$1000,5,FALSE),0)</f>
        <v>0</v>
      </c>
      <c r="G38" s="14">
        <f t="shared" si="0"/>
        <v>0</v>
      </c>
    </row>
    <row r="39" spans="1:7">
      <c r="A39" s="11">
        <v>38</v>
      </c>
      <c r="B39" s="9" t="s">
        <v>563</v>
      </c>
      <c r="C39" s="8" t="s">
        <v>618</v>
      </c>
      <c r="D39" s="8" t="s">
        <v>619</v>
      </c>
      <c r="E39" s="14">
        <f>IFERROR(VLOOKUP(118,obrat_syntetických_účtů!$B$2:$F$1000,5,FALSE),0)+IFERROR(VLOOKUP(128,obrat_syntetických_účtů!$B$2:$F$1000,5,FALSE),0)+IFERROR(VLOOKUP(138,obrat_syntetických_účtů!$B$2:$F$1000,5,FALSE),0)</f>
        <v>0</v>
      </c>
      <c r="F39" s="14">
        <f>IFERROR(VLOOKUP(197,obrat_syntetických_účtů!$B$2:$F$1000,5,FALSE),0)+IFERROR(VLOOKUP(198,obrat_syntetických_účtů!$B$2:$F$1000,5,FALSE),0)+IFERROR(VLOOKUP(199,obrat_syntetických_účtů!$B$2:$F$1000,5,FALSE),0)</f>
        <v>0</v>
      </c>
      <c r="G39" s="14">
        <f t="shared" si="0"/>
        <v>0</v>
      </c>
    </row>
    <row r="40" spans="1:7">
      <c r="A40" s="11">
        <v>39</v>
      </c>
      <c r="B40" s="9" t="s">
        <v>501</v>
      </c>
      <c r="C40" s="8" t="s">
        <v>502</v>
      </c>
      <c r="D40" s="10" t="s">
        <v>620</v>
      </c>
      <c r="E40" s="14">
        <f>SUM(E41:E47)</f>
        <v>0</v>
      </c>
      <c r="F40" s="14">
        <f>SUM(F41:F47)</f>
        <v>0</v>
      </c>
      <c r="G40" s="14">
        <f t="shared" si="0"/>
        <v>0</v>
      </c>
    </row>
    <row r="41" spans="1:7">
      <c r="A41" s="11">
        <v>40</v>
      </c>
      <c r="B41" s="9" t="s">
        <v>621</v>
      </c>
      <c r="C41" s="8" t="s">
        <v>622</v>
      </c>
      <c r="D41" s="8" t="s">
        <v>623</v>
      </c>
      <c r="G41" s="14">
        <f t="shared" si="0"/>
        <v>0</v>
      </c>
    </row>
    <row r="42" spans="1:7">
      <c r="A42" s="11">
        <v>41</v>
      </c>
      <c r="B42" s="9" t="s">
        <v>551</v>
      </c>
      <c r="C42" s="8" t="s">
        <v>624</v>
      </c>
      <c r="D42" s="8" t="s">
        <v>625</v>
      </c>
      <c r="G42" s="14">
        <f t="shared" si="0"/>
        <v>0</v>
      </c>
    </row>
    <row r="43" spans="1:7">
      <c r="A43" s="11">
        <v>42</v>
      </c>
      <c r="B43" s="9" t="s">
        <v>554</v>
      </c>
      <c r="C43" s="8" t="s">
        <v>626</v>
      </c>
      <c r="D43" s="8" t="s">
        <v>627</v>
      </c>
      <c r="G43" s="14">
        <f t="shared" si="0"/>
        <v>0</v>
      </c>
    </row>
    <row r="44" spans="1:7">
      <c r="A44" s="11">
        <v>43</v>
      </c>
      <c r="B44" s="9" t="s">
        <v>557</v>
      </c>
      <c r="C44" s="8" t="s">
        <v>628</v>
      </c>
      <c r="D44" s="8" t="s">
        <v>629</v>
      </c>
      <c r="G44" s="14">
        <f t="shared" si="0"/>
        <v>0</v>
      </c>
    </row>
    <row r="45" spans="1:7">
      <c r="A45" s="11">
        <v>44</v>
      </c>
      <c r="B45" s="9" t="s">
        <v>560</v>
      </c>
      <c r="C45" s="8" t="s">
        <v>630</v>
      </c>
      <c r="D45" s="8" t="s">
        <v>631</v>
      </c>
      <c r="G45" s="14">
        <f t="shared" si="0"/>
        <v>0</v>
      </c>
    </row>
    <row r="46" spans="1:7">
      <c r="A46" s="11">
        <v>45</v>
      </c>
      <c r="B46" s="9" t="s">
        <v>563</v>
      </c>
      <c r="C46" s="8" t="s">
        <v>632</v>
      </c>
      <c r="D46" s="8" t="s">
        <v>633</v>
      </c>
      <c r="G46" s="14">
        <f t="shared" si="0"/>
        <v>0</v>
      </c>
    </row>
    <row r="47" spans="1:7">
      <c r="A47" s="11">
        <v>46</v>
      </c>
      <c r="B47" s="9" t="s">
        <v>566</v>
      </c>
      <c r="C47" s="8" t="s">
        <v>634</v>
      </c>
      <c r="D47" s="8" t="s">
        <v>635</v>
      </c>
      <c r="G47" s="14">
        <f t="shared" si="0"/>
        <v>0</v>
      </c>
    </row>
    <row r="48" spans="1:7">
      <c r="A48" s="11">
        <v>47</v>
      </c>
      <c r="B48" s="9" t="s">
        <v>505</v>
      </c>
      <c r="C48" s="8" t="s">
        <v>506</v>
      </c>
      <c r="D48" s="10" t="s">
        <v>636</v>
      </c>
      <c r="E48" s="14">
        <f>SUM(E49:E57)</f>
        <v>753.76</v>
      </c>
      <c r="F48" s="14">
        <f>SUM(F49:F57)</f>
        <v>0</v>
      </c>
      <c r="G48" s="14">
        <f t="shared" si="0"/>
        <v>753.76</v>
      </c>
    </row>
    <row r="49" spans="1:7">
      <c r="A49" s="11">
        <v>48</v>
      </c>
      <c r="B49" s="9" t="s">
        <v>637</v>
      </c>
      <c r="C49" s="8" t="s">
        <v>622</v>
      </c>
      <c r="D49" s="8" t="s">
        <v>638</v>
      </c>
      <c r="G49" s="14">
        <f t="shared" si="0"/>
        <v>0</v>
      </c>
    </row>
    <row r="50" spans="1:7">
      <c r="A50" s="11">
        <v>49</v>
      </c>
      <c r="B50" s="9" t="s">
        <v>551</v>
      </c>
      <c r="C50" s="8" t="s">
        <v>624</v>
      </c>
      <c r="D50" s="8" t="s">
        <v>625</v>
      </c>
      <c r="G50" s="14">
        <f t="shared" si="0"/>
        <v>0</v>
      </c>
    </row>
    <row r="51" spans="1:7">
      <c r="A51" s="11">
        <v>50</v>
      </c>
      <c r="B51" s="9" t="s">
        <v>554</v>
      </c>
      <c r="C51" s="8" t="s">
        <v>626</v>
      </c>
      <c r="D51" s="8" t="s">
        <v>627</v>
      </c>
      <c r="G51" s="14">
        <f t="shared" si="0"/>
        <v>0</v>
      </c>
    </row>
    <row r="52" spans="1:7">
      <c r="A52" s="11">
        <v>51</v>
      </c>
      <c r="B52" s="9" t="s">
        <v>557</v>
      </c>
      <c r="C52" s="8" t="s">
        <v>628</v>
      </c>
      <c r="D52" s="8" t="s">
        <v>639</v>
      </c>
      <c r="G52" s="14">
        <f t="shared" si="0"/>
        <v>0</v>
      </c>
    </row>
    <row r="53" spans="1:7">
      <c r="A53" s="11">
        <v>52</v>
      </c>
      <c r="B53" s="9" t="s">
        <v>560</v>
      </c>
      <c r="C53" s="8" t="s">
        <v>640</v>
      </c>
      <c r="D53" s="8" t="s">
        <v>641</v>
      </c>
      <c r="G53" s="14">
        <f t="shared" si="0"/>
        <v>0</v>
      </c>
    </row>
    <row r="54" spans="1:7">
      <c r="A54" s="11">
        <v>53</v>
      </c>
      <c r="B54" s="9" t="s">
        <v>563</v>
      </c>
      <c r="C54" s="8" t="s">
        <v>642</v>
      </c>
      <c r="D54" s="8" t="s">
        <v>643</v>
      </c>
      <c r="E54" s="14">
        <f>IF(IFERROR(VLOOKUP(343,obrat_syntetických_účtů!$B$2:$F$1000,5,FALSE),0)&gt;0,IFERROR(VLOOKUP(343,obrat_syntetických_účtů!$B$2:$F$1000,5,FALSE),0),0)</f>
        <v>753.76</v>
      </c>
      <c r="G54" s="14">
        <f t="shared" si="0"/>
        <v>753.76</v>
      </c>
    </row>
    <row r="55" spans="1:7">
      <c r="A55" s="11">
        <v>54</v>
      </c>
      <c r="B55" s="9" t="s">
        <v>566</v>
      </c>
      <c r="C55" s="8" t="s">
        <v>644</v>
      </c>
      <c r="D55" s="8" t="s">
        <v>645</v>
      </c>
      <c r="G55" s="14">
        <f t="shared" si="0"/>
        <v>0</v>
      </c>
    </row>
    <row r="56" spans="1:7">
      <c r="A56" s="11">
        <v>55</v>
      </c>
      <c r="B56" s="9" t="s">
        <v>569</v>
      </c>
      <c r="C56" s="8" t="s">
        <v>630</v>
      </c>
      <c r="D56" s="8" t="s">
        <v>631</v>
      </c>
      <c r="G56" s="14">
        <f t="shared" si="0"/>
        <v>0</v>
      </c>
    </row>
    <row r="57" spans="1:7">
      <c r="A57" s="11">
        <v>56</v>
      </c>
      <c r="B57" s="9" t="s">
        <v>589</v>
      </c>
      <c r="C57" s="8" t="s">
        <v>632</v>
      </c>
      <c r="D57" s="8" t="s">
        <v>633</v>
      </c>
      <c r="G57" s="14">
        <f t="shared" si="0"/>
        <v>0</v>
      </c>
    </row>
    <row r="58" spans="1:7">
      <c r="A58" s="11">
        <v>57</v>
      </c>
      <c r="B58" s="9" t="s">
        <v>508</v>
      </c>
      <c r="C58" s="8" t="s">
        <v>509</v>
      </c>
      <c r="D58" s="10" t="s">
        <v>646</v>
      </c>
      <c r="E58" s="14">
        <f>SUM(E59:E62)</f>
        <v>140631.12</v>
      </c>
      <c r="F58" s="14">
        <f>SUM(F59:F62)</f>
        <v>0</v>
      </c>
      <c r="G58" s="14">
        <f t="shared" si="0"/>
        <v>140631.12</v>
      </c>
    </row>
    <row r="59" spans="1:7">
      <c r="A59" s="11">
        <v>58</v>
      </c>
      <c r="B59" s="9" t="s">
        <v>143</v>
      </c>
      <c r="C59" s="8" t="s">
        <v>647</v>
      </c>
      <c r="D59" s="8" t="s">
        <v>648</v>
      </c>
      <c r="E59" s="14">
        <f>IFERROR(VLOOKUP(211,obrat_syntetických_účtů!$B$2:$F$1000,5,FALSE),0)+IFERROR(VLOOKUP(213,obrat_syntetických_účtů!$B$2:$F$1000,5,FALSE),0)</f>
        <v>24392.240000000002</v>
      </c>
      <c r="G59" s="14">
        <f t="shared" si="0"/>
        <v>24392.240000000002</v>
      </c>
    </row>
    <row r="60" spans="1:7">
      <c r="A60" s="11">
        <v>59</v>
      </c>
      <c r="B60" s="9" t="s">
        <v>551</v>
      </c>
      <c r="C60" s="8" t="s">
        <v>649</v>
      </c>
      <c r="D60" s="8" t="s">
        <v>650</v>
      </c>
      <c r="E60" s="14">
        <f>IFERROR(VLOOKUP(221,obrat_syntetických_účtů!$B$2:$F$1000,5,FALSE),0)</f>
        <v>116238.88</v>
      </c>
      <c r="G60" s="14">
        <f t="shared" si="0"/>
        <v>116238.88</v>
      </c>
    </row>
    <row r="61" spans="1:7">
      <c r="A61" s="11">
        <v>60</v>
      </c>
      <c r="B61" s="9" t="s">
        <v>554</v>
      </c>
      <c r="C61" s="8" t="s">
        <v>651</v>
      </c>
      <c r="D61" s="8" t="s">
        <v>652</v>
      </c>
      <c r="E61" s="14">
        <f>IFERROR(VLOOKUP(251,obrat_syntetických_účtů!$B$2:$F$1000,5,FALSE),0)+IFERROR(VLOOKUP(253,obrat_syntetických_účtů!$B$2:$F$1000,5,FALSE),0)+IFERROR(VLOOKUP(256,obrat_syntetických_účtů!$B$2:$F$1000,5,FALSE),0)+IFERROR(VLOOKUP(257,obrat_syntetických_účtů!$B$2:$F$1000,5,FALSE),0)</f>
        <v>0</v>
      </c>
      <c r="G61" s="14">
        <f t="shared" si="0"/>
        <v>0</v>
      </c>
    </row>
    <row r="62" spans="1:7">
      <c r="A62" s="11">
        <v>61</v>
      </c>
      <c r="B62" s="9" t="s">
        <v>557</v>
      </c>
      <c r="C62" s="8" t="s">
        <v>653</v>
      </c>
      <c r="D62" s="8" t="s">
        <v>654</v>
      </c>
      <c r="E62" s="14">
        <f>IFERROR(VLOOKUP(259,obrat_syntetických_účtů!$B$2:$F$1000,5,FALSE),0)</f>
        <v>0</v>
      </c>
      <c r="G62" s="14">
        <f t="shared" si="0"/>
        <v>0</v>
      </c>
    </row>
    <row r="63" spans="1:7">
      <c r="A63" s="11">
        <v>62</v>
      </c>
      <c r="B63" s="9" t="s">
        <v>512</v>
      </c>
      <c r="C63" s="8" t="s">
        <v>513</v>
      </c>
      <c r="D63" s="10" t="s">
        <v>655</v>
      </c>
      <c r="E63" s="14">
        <f>SUM(E64:E66)</f>
        <v>0</v>
      </c>
      <c r="F63" s="14">
        <f>SUM(F64:F66)</f>
        <v>0</v>
      </c>
      <c r="G63" s="14">
        <f t="shared" si="0"/>
        <v>0</v>
      </c>
    </row>
    <row r="64" spans="1:7">
      <c r="A64" s="11">
        <v>63</v>
      </c>
      <c r="B64" s="9" t="s">
        <v>239</v>
      </c>
      <c r="C64" s="8" t="s">
        <v>656</v>
      </c>
      <c r="D64" s="8">
        <v>381</v>
      </c>
      <c r="G64" s="14">
        <f t="shared" si="0"/>
        <v>0</v>
      </c>
    </row>
    <row r="65" spans="1:7">
      <c r="A65" s="11">
        <v>64</v>
      </c>
      <c r="B65" s="9" t="s">
        <v>551</v>
      </c>
      <c r="C65" s="8" t="s">
        <v>657</v>
      </c>
      <c r="D65" s="8">
        <v>382</v>
      </c>
      <c r="G65" s="14">
        <f t="shared" si="0"/>
        <v>0</v>
      </c>
    </row>
    <row r="66" spans="1:7">
      <c r="A66" s="11">
        <v>65</v>
      </c>
      <c r="B66" s="9" t="s">
        <v>554</v>
      </c>
      <c r="C66" s="8" t="s">
        <v>658</v>
      </c>
      <c r="D66" s="8">
        <v>385</v>
      </c>
      <c r="G66" s="14">
        <f t="shared" si="0"/>
        <v>0</v>
      </c>
    </row>
    <row r="69" spans="1:7">
      <c r="A69" s="11">
        <v>66</v>
      </c>
      <c r="C69" s="12" t="s">
        <v>659</v>
      </c>
      <c r="G69" s="14">
        <f>G70+G87+G120</f>
        <v>477341.88</v>
      </c>
    </row>
    <row r="70" spans="1:7">
      <c r="A70" s="11">
        <v>67</v>
      </c>
      <c r="B70" s="9" t="s">
        <v>212</v>
      </c>
      <c r="C70" s="8" t="s">
        <v>517</v>
      </c>
      <c r="D70" s="8" t="s">
        <v>516</v>
      </c>
      <c r="G70" s="14">
        <f>G71+G75+G80+G83+G86</f>
        <v>475895.88</v>
      </c>
    </row>
    <row r="71" spans="1:7">
      <c r="A71" s="11">
        <v>68</v>
      </c>
      <c r="B71" s="9" t="s">
        <v>519</v>
      </c>
      <c r="C71" s="8" t="s">
        <v>520</v>
      </c>
      <c r="D71" s="10" t="s">
        <v>660</v>
      </c>
      <c r="G71" s="14">
        <f>IFERROR(VLOOKUP(411,obrat_syntetických_účtů!$B$2:$F$1000,5,FALSE),0)</f>
        <v>500000</v>
      </c>
    </row>
    <row r="72" spans="1:7">
      <c r="A72" s="11">
        <v>69</v>
      </c>
      <c r="B72" s="9" t="s">
        <v>262</v>
      </c>
      <c r="C72" s="8" t="s">
        <v>520</v>
      </c>
      <c r="D72" s="8" t="s">
        <v>661</v>
      </c>
    </row>
    <row r="73" spans="1:7">
      <c r="A73" s="11">
        <v>70</v>
      </c>
      <c r="B73" s="9" t="s">
        <v>551</v>
      </c>
      <c r="C73" s="8" t="s">
        <v>662</v>
      </c>
      <c r="D73" s="8" t="s">
        <v>663</v>
      </c>
      <c r="G73" s="14">
        <f>IFERROR(VLOOKUP(252,obrat_syntetických_účtů!$B$2:$F$1000,5,FALSE),0)</f>
        <v>0</v>
      </c>
    </row>
    <row r="74" spans="1:7">
      <c r="A74" s="11">
        <v>71</v>
      </c>
      <c r="B74" s="9" t="s">
        <v>554</v>
      </c>
      <c r="C74" s="8" t="s">
        <v>664</v>
      </c>
      <c r="D74" s="8" t="s">
        <v>665</v>
      </c>
    </row>
    <row r="75" spans="1:7">
      <c r="A75" s="11">
        <v>72</v>
      </c>
      <c r="B75" s="9" t="s">
        <v>522</v>
      </c>
      <c r="C75" s="8" t="s">
        <v>523</v>
      </c>
      <c r="D75" s="10" t="s">
        <v>666</v>
      </c>
    </row>
    <row r="76" spans="1:7">
      <c r="A76" s="11">
        <v>73</v>
      </c>
      <c r="B76" s="9" t="s">
        <v>264</v>
      </c>
      <c r="C76" s="8" t="s">
        <v>667</v>
      </c>
      <c r="D76" s="8">
        <v>412</v>
      </c>
    </row>
    <row r="77" spans="1:7">
      <c r="A77" s="11">
        <v>74</v>
      </c>
      <c r="B77" s="9" t="s">
        <v>551</v>
      </c>
      <c r="C77" s="8" t="s">
        <v>668</v>
      </c>
      <c r="D77" s="8">
        <v>413</v>
      </c>
    </row>
    <row r="78" spans="1:7">
      <c r="A78" s="11">
        <v>75</v>
      </c>
      <c r="B78" s="9" t="s">
        <v>554</v>
      </c>
      <c r="C78" s="8" t="s">
        <v>669</v>
      </c>
      <c r="D78" s="8" t="s">
        <v>670</v>
      </c>
    </row>
    <row r="79" spans="1:7">
      <c r="A79" s="11">
        <v>76</v>
      </c>
      <c r="B79" s="9" t="s">
        <v>557</v>
      </c>
      <c r="C79" s="8" t="s">
        <v>671</v>
      </c>
      <c r="D79" s="8" t="s">
        <v>672</v>
      </c>
    </row>
    <row r="80" spans="1:7">
      <c r="A80" s="11">
        <v>77</v>
      </c>
      <c r="B80" s="9" t="s">
        <v>525</v>
      </c>
      <c r="C80" s="8" t="s">
        <v>526</v>
      </c>
      <c r="D80" s="8" t="s">
        <v>673</v>
      </c>
      <c r="G80" s="14">
        <f>SUM(G81:G82)</f>
        <v>0</v>
      </c>
    </row>
    <row r="81" spans="1:7">
      <c r="A81" s="11">
        <v>78</v>
      </c>
      <c r="B81" s="9" t="s">
        <v>275</v>
      </c>
      <c r="C81" s="8" t="s">
        <v>674</v>
      </c>
      <c r="D81" s="8" t="s">
        <v>675</v>
      </c>
      <c r="G81" s="14">
        <f>SUM(G82:G83)</f>
        <v>0</v>
      </c>
    </row>
    <row r="82" spans="1:7">
      <c r="A82" s="11">
        <v>79</v>
      </c>
      <c r="B82" s="9" t="s">
        <v>551</v>
      </c>
      <c r="C82" s="8" t="s">
        <v>676</v>
      </c>
      <c r="D82" s="8" t="s">
        <v>677</v>
      </c>
    </row>
    <row r="83" spans="1:7">
      <c r="A83" s="11">
        <v>80</v>
      </c>
      <c r="B83" s="9" t="s">
        <v>528</v>
      </c>
      <c r="C83" s="8" t="s">
        <v>529</v>
      </c>
      <c r="D83" s="8" t="s">
        <v>678</v>
      </c>
      <c r="G83" s="14">
        <f>SUM(G84:G85)</f>
        <v>0</v>
      </c>
    </row>
    <row r="84" spans="1:7">
      <c r="A84" s="11">
        <v>81</v>
      </c>
      <c r="B84" s="9" t="s">
        <v>281</v>
      </c>
      <c r="C84" s="8" t="s">
        <v>679</v>
      </c>
      <c r="D84" s="8">
        <v>428</v>
      </c>
    </row>
    <row r="85" spans="1:7">
      <c r="A85" s="11">
        <v>82</v>
      </c>
      <c r="B85" s="9" t="s">
        <v>551</v>
      </c>
      <c r="C85" s="8" t="s">
        <v>680</v>
      </c>
      <c r="D85" s="8" t="s">
        <v>681</v>
      </c>
    </row>
    <row r="86" spans="1:7">
      <c r="A86" s="11">
        <v>83</v>
      </c>
      <c r="B86" s="9" t="s">
        <v>531</v>
      </c>
      <c r="C86" s="8" t="s">
        <v>682</v>
      </c>
      <c r="D86" s="8" t="s">
        <v>683</v>
      </c>
      <c r="G86" s="14">
        <f>VKZS!E61</f>
        <v>-24104.119999999992</v>
      </c>
    </row>
    <row r="87" spans="1:7">
      <c r="A87" s="11">
        <v>84</v>
      </c>
      <c r="B87" s="9" t="s">
        <v>479</v>
      </c>
      <c r="C87" s="8" t="s">
        <v>534</v>
      </c>
      <c r="D87" s="8" t="s">
        <v>535</v>
      </c>
      <c r="G87" s="14">
        <f>G88+G93+G104+G116</f>
        <v>1446</v>
      </c>
    </row>
    <row r="88" spans="1:7">
      <c r="A88" s="11">
        <v>85</v>
      </c>
      <c r="B88" s="9" t="s">
        <v>482</v>
      </c>
      <c r="C88" s="8" t="s">
        <v>536</v>
      </c>
      <c r="D88" s="10" t="s">
        <v>684</v>
      </c>
      <c r="G88" s="14">
        <f>SUM(G89:G92)</f>
        <v>0</v>
      </c>
    </row>
    <row r="89" spans="1:7">
      <c r="A89" s="11">
        <v>86</v>
      </c>
      <c r="B89" s="9" t="s">
        <v>8</v>
      </c>
      <c r="C89" s="8" t="s">
        <v>685</v>
      </c>
      <c r="D89" s="8">
        <v>451</v>
      </c>
    </row>
    <row r="90" spans="1:7">
      <c r="A90" s="11">
        <v>87</v>
      </c>
      <c r="B90" s="9" t="s">
        <v>551</v>
      </c>
      <c r="C90" s="8" t="s">
        <v>686</v>
      </c>
      <c r="D90" s="8" t="s">
        <v>687</v>
      </c>
    </row>
    <row r="91" spans="1:7">
      <c r="A91" s="11">
        <v>88</v>
      </c>
      <c r="B91" s="9" t="s">
        <v>554</v>
      </c>
      <c r="C91" s="8" t="s">
        <v>688</v>
      </c>
      <c r="D91" s="8">
        <v>453</v>
      </c>
    </row>
    <row r="92" spans="1:7">
      <c r="A92" s="11">
        <v>89</v>
      </c>
      <c r="B92" s="9" t="s">
        <v>557</v>
      </c>
      <c r="C92" s="8" t="s">
        <v>689</v>
      </c>
      <c r="D92" s="8" t="s">
        <v>687</v>
      </c>
    </row>
    <row r="93" spans="1:7">
      <c r="A93" s="11">
        <v>90</v>
      </c>
      <c r="B93" s="9" t="s">
        <v>486</v>
      </c>
      <c r="C93" s="8" t="s">
        <v>538</v>
      </c>
      <c r="D93" s="10" t="s">
        <v>690</v>
      </c>
      <c r="G93" s="14">
        <f>SUM(G94:G103)</f>
        <v>0</v>
      </c>
    </row>
    <row r="94" spans="1:7">
      <c r="A94" s="11">
        <v>91</v>
      </c>
      <c r="B94" s="9" t="s">
        <v>32</v>
      </c>
      <c r="C94" s="8" t="s">
        <v>691</v>
      </c>
      <c r="D94" s="8" t="s">
        <v>692</v>
      </c>
    </row>
    <row r="95" spans="1:7">
      <c r="A95" s="11">
        <v>92</v>
      </c>
      <c r="B95" s="9" t="s">
        <v>551</v>
      </c>
      <c r="C95" s="8" t="s">
        <v>693</v>
      </c>
      <c r="D95" s="8" t="s">
        <v>694</v>
      </c>
    </row>
    <row r="96" spans="1:7">
      <c r="A96" s="11">
        <v>93</v>
      </c>
      <c r="B96" s="9" t="s">
        <v>554</v>
      </c>
      <c r="C96" s="8" t="s">
        <v>695</v>
      </c>
      <c r="D96" s="8" t="s">
        <v>696</v>
      </c>
    </row>
    <row r="97" spans="1:7">
      <c r="A97" s="11">
        <v>94</v>
      </c>
      <c r="B97" s="9" t="s">
        <v>557</v>
      </c>
      <c r="C97" s="8" t="s">
        <v>697</v>
      </c>
      <c r="D97" s="8" t="s">
        <v>698</v>
      </c>
    </row>
    <row r="98" spans="1:7">
      <c r="A98" s="11">
        <v>95</v>
      </c>
      <c r="B98" s="9" t="s">
        <v>560</v>
      </c>
      <c r="C98" s="8" t="s">
        <v>699</v>
      </c>
      <c r="D98" s="8" t="s">
        <v>700</v>
      </c>
    </row>
    <row r="99" spans="1:7">
      <c r="A99" s="11">
        <v>96</v>
      </c>
      <c r="B99" s="9" t="s">
        <v>563</v>
      </c>
      <c r="C99" s="8" t="s">
        <v>701</v>
      </c>
      <c r="D99" s="8" t="s">
        <v>702</v>
      </c>
    </row>
    <row r="100" spans="1:7">
      <c r="A100" s="11">
        <v>97</v>
      </c>
      <c r="B100" s="9" t="s">
        <v>566</v>
      </c>
      <c r="C100" s="8" t="s">
        <v>703</v>
      </c>
      <c r="D100" s="8" t="s">
        <v>704</v>
      </c>
    </row>
    <row r="101" spans="1:7">
      <c r="A101" s="11">
        <v>98</v>
      </c>
      <c r="B101" s="9" t="s">
        <v>569</v>
      </c>
      <c r="C101" s="8" t="s">
        <v>705</v>
      </c>
      <c r="D101" s="8" t="s">
        <v>706</v>
      </c>
    </row>
    <row r="102" spans="1:7">
      <c r="A102" s="11">
        <v>99</v>
      </c>
      <c r="B102" s="9" t="s">
        <v>589</v>
      </c>
      <c r="C102" s="8" t="s">
        <v>707</v>
      </c>
      <c r="D102" s="8" t="s">
        <v>708</v>
      </c>
    </row>
    <row r="103" spans="1:7">
      <c r="A103" s="11">
        <v>100</v>
      </c>
      <c r="B103" s="9" t="s">
        <v>709</v>
      </c>
      <c r="C103" s="8" t="s">
        <v>710</v>
      </c>
      <c r="D103" s="8" t="s">
        <v>635</v>
      </c>
    </row>
    <row r="104" spans="1:7">
      <c r="A104" s="11">
        <v>101</v>
      </c>
      <c r="B104" s="9" t="s">
        <v>490</v>
      </c>
      <c r="C104" s="8" t="s">
        <v>540</v>
      </c>
      <c r="D104" s="10" t="s">
        <v>711</v>
      </c>
      <c r="G104" s="14">
        <f>SUM(G105:G115)</f>
        <v>1446</v>
      </c>
    </row>
    <row r="105" spans="1:7">
      <c r="A105" s="11">
        <v>102</v>
      </c>
      <c r="B105" s="9" t="s">
        <v>50</v>
      </c>
      <c r="C105" s="8" t="s">
        <v>691</v>
      </c>
      <c r="D105" s="8" t="s">
        <v>712</v>
      </c>
      <c r="G105" s="14">
        <f>IFERROR(VLOOKUP(321,obrat_syntetických_účtů!$B$2:$F$1000,5,FALSE),0)+IFERROR(VLOOKUP(322,obrat_syntetických_účtů!$B$2:$F$1000,5,FALSE),0)+IFERROR(VLOOKUP(325,obrat_syntetických_účtů!$B$2:$F$1000,5,FALSE),0)</f>
        <v>1446</v>
      </c>
    </row>
    <row r="106" spans="1:7">
      <c r="A106" s="11">
        <v>103</v>
      </c>
      <c r="B106" s="9" t="s">
        <v>551</v>
      </c>
      <c r="C106" s="8" t="s">
        <v>693</v>
      </c>
      <c r="D106" s="8" t="s">
        <v>713</v>
      </c>
    </row>
    <row r="107" spans="1:7">
      <c r="A107" s="11">
        <v>104</v>
      </c>
      <c r="B107" s="9" t="s">
        <v>554</v>
      </c>
      <c r="C107" s="8" t="s">
        <v>695</v>
      </c>
      <c r="D107" s="8" t="s">
        <v>714</v>
      </c>
    </row>
    <row r="108" spans="1:7">
      <c r="A108" s="11">
        <v>105</v>
      </c>
      <c r="B108" s="9" t="s">
        <v>557</v>
      </c>
      <c r="C108" s="8" t="s">
        <v>697</v>
      </c>
      <c r="D108" s="8" t="s">
        <v>715</v>
      </c>
    </row>
    <row r="109" spans="1:7">
      <c r="A109" s="11">
        <v>106</v>
      </c>
      <c r="B109" s="9" t="s">
        <v>560</v>
      </c>
      <c r="C109" s="8" t="s">
        <v>716</v>
      </c>
      <c r="D109" s="8" t="s">
        <v>717</v>
      </c>
      <c r="G109" s="14">
        <f>IFERROR(VLOOKUP(331,obrat_syntetických_účtů!$B$2:$F$1000,5,FALSE),0)+IFERROR(VLOOKUP(333,obrat_syntetických_účtů!$B$2:$F$1000,5,FALSE),0)</f>
        <v>0</v>
      </c>
    </row>
    <row r="110" spans="1:7">
      <c r="A110" s="11">
        <v>107</v>
      </c>
      <c r="B110" s="9" t="s">
        <v>563</v>
      </c>
      <c r="C110" s="8" t="s">
        <v>718</v>
      </c>
      <c r="D110" s="8" t="s">
        <v>719</v>
      </c>
    </row>
    <row r="111" spans="1:7">
      <c r="A111" s="11">
        <v>108</v>
      </c>
      <c r="B111" s="9" t="s">
        <v>566</v>
      </c>
      <c r="C111" s="8" t="s">
        <v>720</v>
      </c>
      <c r="D111" s="8" t="s">
        <v>721</v>
      </c>
      <c r="E111" s="14">
        <f>IF(IFERROR(VLOOKUP(343,obrat_syntetických_účtů!$B$2:$F$1000,5,FALSE),0)&lt;0,-1*IFERROR(VLOOKUP(343,obrat_syntetických_účtů!$B$2:$F$1000,5,FALSE),0),0)</f>
        <v>0</v>
      </c>
      <c r="G111" s="14">
        <f>IFERROR(VLOOKUP(346,obrat_syntetických_účtů!$B$2:$F$1000,5,FALSE),0)+IFERROR(VLOOKUP(347,obrat_syntetických_účtů!$B$2:$F$1000,5,FALSE),0)</f>
        <v>0</v>
      </c>
    </row>
    <row r="112" spans="1:7">
      <c r="A112" s="11">
        <v>109</v>
      </c>
      <c r="B112" s="9" t="s">
        <v>569</v>
      </c>
      <c r="C112" s="8" t="s">
        <v>722</v>
      </c>
      <c r="D112" s="8" t="s">
        <v>723</v>
      </c>
      <c r="G112" s="14">
        <f>IFERROR(VLOOKUP(324,obrat_syntetických_účtů!$B$2:$F$1000,5,FALSE),0)</f>
        <v>0</v>
      </c>
    </row>
    <row r="113" spans="1:7">
      <c r="A113" s="11">
        <v>110</v>
      </c>
      <c r="B113" s="9" t="s">
        <v>589</v>
      </c>
      <c r="C113" s="8" t="s">
        <v>701</v>
      </c>
      <c r="D113" s="8" t="s">
        <v>724</v>
      </c>
      <c r="G113" s="14">
        <f>IFERROR(VLOOKUP(241,obrat_syntetických_účtů!$B$2:$F$1000,5,FALSE),0)</f>
        <v>0</v>
      </c>
    </row>
    <row r="114" spans="1:7">
      <c r="A114" s="11">
        <v>111</v>
      </c>
      <c r="B114" s="9" t="s">
        <v>709</v>
      </c>
      <c r="C114" s="8" t="s">
        <v>705</v>
      </c>
      <c r="D114" s="8" t="s">
        <v>706</v>
      </c>
    </row>
    <row r="115" spans="1:7">
      <c r="A115" s="11">
        <v>112</v>
      </c>
      <c r="B115" s="9" t="s">
        <v>725</v>
      </c>
      <c r="C115" s="8" t="s">
        <v>707</v>
      </c>
      <c r="D115" s="8" t="s">
        <v>726</v>
      </c>
    </row>
    <row r="116" spans="1:7">
      <c r="A116" s="11">
        <v>113</v>
      </c>
      <c r="B116" s="9" t="s">
        <v>542</v>
      </c>
      <c r="C116" s="8" t="s">
        <v>543</v>
      </c>
      <c r="D116" s="10" t="s">
        <v>727</v>
      </c>
      <c r="G116" s="14">
        <f>SUM(G117:G119)</f>
        <v>0</v>
      </c>
    </row>
    <row r="117" spans="1:7">
      <c r="A117" s="11">
        <v>114</v>
      </c>
      <c r="B117" s="9" t="s">
        <v>728</v>
      </c>
      <c r="C117" s="8" t="s">
        <v>729</v>
      </c>
      <c r="D117" s="8" t="s">
        <v>730</v>
      </c>
    </row>
    <row r="118" spans="1:7">
      <c r="A118" s="11">
        <v>115</v>
      </c>
      <c r="B118" s="9" t="s">
        <v>551</v>
      </c>
      <c r="C118" s="8" t="s">
        <v>731</v>
      </c>
      <c r="D118" s="8" t="s">
        <v>732</v>
      </c>
      <c r="G118" s="14">
        <f>IFERROR(VLOOKUP(231,obrat_syntetických_účtů!$B$2:$F$1000,5,FALSE),0)+IFERROR(VLOOKUP(232,obrat_syntetických_účtů!$B$2:$F$1000,5,FALSE),0)</f>
        <v>0</v>
      </c>
    </row>
    <row r="119" spans="1:7">
      <c r="A119" s="11">
        <v>116</v>
      </c>
      <c r="B119" s="9" t="s">
        <v>554</v>
      </c>
      <c r="C119" s="8" t="s">
        <v>733</v>
      </c>
      <c r="D119" s="8">
        <v>249</v>
      </c>
      <c r="G119" s="14">
        <f>IFERROR(VLOOKUP(249,obrat_syntetických_účtů!$B$2:$F$1000,5,FALSE),0)</f>
        <v>0</v>
      </c>
    </row>
    <row r="120" spans="1:7">
      <c r="A120" s="11">
        <v>117</v>
      </c>
      <c r="B120" s="9" t="s">
        <v>497</v>
      </c>
      <c r="C120" s="8" t="s">
        <v>513</v>
      </c>
      <c r="D120" s="8" t="s">
        <v>734</v>
      </c>
    </row>
    <row r="121" spans="1:7">
      <c r="A121" s="11">
        <v>118</v>
      </c>
      <c r="B121" s="9" t="s">
        <v>104</v>
      </c>
      <c r="C121" s="8" t="s">
        <v>735</v>
      </c>
      <c r="D121" s="8">
        <v>383</v>
      </c>
    </row>
    <row r="122" spans="1:7">
      <c r="A122" s="11">
        <v>119</v>
      </c>
      <c r="B122" s="9" t="s">
        <v>551</v>
      </c>
      <c r="C122" s="8" t="s">
        <v>736</v>
      </c>
      <c r="D122" s="8">
        <v>384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A22" sqref="A22:XFD22"/>
    </sheetView>
  </sheetViews>
  <sheetFormatPr defaultRowHeight="15"/>
  <cols>
    <col min="1" max="1" width="9.140625" style="11"/>
    <col min="2" max="2" width="13.42578125" customWidth="1"/>
    <col min="3" max="3" width="62.28515625" customWidth="1"/>
    <col min="4" max="4" width="32" customWidth="1"/>
    <col min="5" max="5" width="33.5703125" customWidth="1"/>
    <col min="6" max="6" width="14" style="14" bestFit="1" customWidth="1"/>
    <col min="7" max="7" width="9.28515625" style="14" bestFit="1" customWidth="1"/>
    <col min="8" max="8" width="14" style="14" bestFit="1" customWidth="1"/>
    <col min="9" max="9" width="9.140625" style="14"/>
  </cols>
  <sheetData>
    <row r="1" spans="1:9" ht="45">
      <c r="A1" s="4" t="s">
        <v>886</v>
      </c>
      <c r="B1" s="1" t="s">
        <v>472</v>
      </c>
      <c r="C1" s="1" t="s">
        <v>473</v>
      </c>
      <c r="D1" s="1" t="s">
        <v>474</v>
      </c>
      <c r="E1" s="1" t="s">
        <v>475</v>
      </c>
      <c r="F1" s="17" t="s">
        <v>876</v>
      </c>
      <c r="G1" s="17" t="s">
        <v>877</v>
      </c>
      <c r="H1" s="17" t="s">
        <v>878</v>
      </c>
      <c r="I1" s="18" t="s">
        <v>879</v>
      </c>
    </row>
    <row r="2" spans="1:9">
      <c r="A2" s="11">
        <v>1</v>
      </c>
      <c r="B2" s="5"/>
      <c r="C2" s="5" t="s">
        <v>476</v>
      </c>
      <c r="D2" s="45" t="s">
        <v>477</v>
      </c>
      <c r="E2" s="45"/>
      <c r="F2" s="14">
        <f>Rozvaha!E2</f>
        <v>477341.88</v>
      </c>
      <c r="G2" s="14">
        <f>Rozvaha!F2</f>
        <v>0</v>
      </c>
      <c r="H2" s="14">
        <f>Rozvaha!G2</f>
        <v>477341.88</v>
      </c>
      <c r="I2" s="14">
        <f>Rozvaha!H2</f>
        <v>0</v>
      </c>
    </row>
    <row r="3" spans="1:9">
      <c r="A3" s="11">
        <v>2</v>
      </c>
      <c r="B3" s="5" t="s">
        <v>212</v>
      </c>
      <c r="C3" s="5" t="s">
        <v>478</v>
      </c>
      <c r="D3" s="5">
        <v>353</v>
      </c>
      <c r="E3" s="5"/>
      <c r="F3" s="14">
        <f>Rozvaha!E3</f>
        <v>0</v>
      </c>
      <c r="G3" s="14">
        <f>Rozvaha!F3</f>
        <v>0</v>
      </c>
      <c r="H3" s="14">
        <f>Rozvaha!G3</f>
        <v>0</v>
      </c>
      <c r="I3" s="14">
        <f>Rozvaha!H3</f>
        <v>0</v>
      </c>
    </row>
    <row r="4" spans="1:9">
      <c r="A4" s="11">
        <v>3</v>
      </c>
      <c r="B4" s="5" t="s">
        <v>479</v>
      </c>
      <c r="C4" s="5" t="s">
        <v>480</v>
      </c>
      <c r="D4" s="45" t="s">
        <v>481</v>
      </c>
      <c r="E4" s="45"/>
      <c r="F4" s="14">
        <f>Rozvaha!E4</f>
        <v>335957</v>
      </c>
      <c r="G4" s="14">
        <f>Rozvaha!F4</f>
        <v>0</v>
      </c>
      <c r="H4" s="14">
        <f>Rozvaha!G4</f>
        <v>335957</v>
      </c>
      <c r="I4" s="14">
        <f>Rozvaha!H4</f>
        <v>0</v>
      </c>
    </row>
    <row r="5" spans="1:9" ht="45">
      <c r="A5" s="11">
        <v>4</v>
      </c>
      <c r="B5" s="5" t="s">
        <v>482</v>
      </c>
      <c r="C5" s="5" t="s">
        <v>483</v>
      </c>
      <c r="D5" s="5" t="s">
        <v>484</v>
      </c>
      <c r="E5" s="5" t="s">
        <v>485</v>
      </c>
      <c r="F5" s="14">
        <f>Rozvaha!E5</f>
        <v>0</v>
      </c>
      <c r="G5" s="14">
        <f>Rozvaha!F5</f>
        <v>0</v>
      </c>
      <c r="H5" s="14">
        <f>Rozvaha!G5</f>
        <v>0</v>
      </c>
      <c r="I5" s="14">
        <f>Rozvaha!H5</f>
        <v>0</v>
      </c>
    </row>
    <row r="6" spans="1:9" ht="30">
      <c r="A6" s="11">
        <v>5</v>
      </c>
      <c r="B6" s="5" t="s">
        <v>486</v>
      </c>
      <c r="C6" s="5" t="s">
        <v>487</v>
      </c>
      <c r="D6" s="5" t="s">
        <v>488</v>
      </c>
      <c r="E6" s="5" t="s">
        <v>489</v>
      </c>
      <c r="F6" s="14">
        <f>Rozvaha!E14</f>
        <v>335957</v>
      </c>
      <c r="G6" s="14">
        <f>Rozvaha!F14</f>
        <v>0</v>
      </c>
      <c r="H6" s="14">
        <f>Rozvaha!G14</f>
        <v>335957</v>
      </c>
      <c r="I6" s="14">
        <f>Rozvaha!H14</f>
        <v>0</v>
      </c>
    </row>
    <row r="7" spans="1:9" ht="30">
      <c r="A7" s="11">
        <v>6</v>
      </c>
      <c r="B7" s="5" t="s">
        <v>490</v>
      </c>
      <c r="C7" s="5" t="s">
        <v>491</v>
      </c>
      <c r="D7" s="5" t="s">
        <v>492</v>
      </c>
      <c r="E7" s="5" t="s">
        <v>493</v>
      </c>
      <c r="F7" s="14">
        <f>Rozvaha!E24</f>
        <v>0</v>
      </c>
      <c r="G7" s="14">
        <f>Rozvaha!F24</f>
        <v>0</v>
      </c>
      <c r="H7" s="14">
        <f>Rozvaha!G24</f>
        <v>0</v>
      </c>
      <c r="I7" s="14">
        <f>Rozvaha!H24</f>
        <v>0</v>
      </c>
    </row>
    <row r="8" spans="1:9">
      <c r="A8" s="11">
        <v>7</v>
      </c>
      <c r="B8" s="5" t="s">
        <v>494</v>
      </c>
      <c r="C8" s="5" t="s">
        <v>495</v>
      </c>
      <c r="D8" s="45" t="s">
        <v>496</v>
      </c>
      <c r="E8" s="45"/>
      <c r="F8" s="14">
        <f>Rozvaha!E32</f>
        <v>141384.88</v>
      </c>
      <c r="G8" s="14">
        <f>Rozvaha!F32</f>
        <v>0</v>
      </c>
      <c r="H8" s="14">
        <f>Rozvaha!G32</f>
        <v>141384.88</v>
      </c>
      <c r="I8" s="14">
        <f>Rozvaha!H32</f>
        <v>0</v>
      </c>
    </row>
    <row r="9" spans="1:9" ht="30">
      <c r="A9" s="11">
        <v>8</v>
      </c>
      <c r="B9" s="5" t="s">
        <v>497</v>
      </c>
      <c r="C9" s="5" t="s">
        <v>498</v>
      </c>
      <c r="D9" s="5" t="s">
        <v>499</v>
      </c>
      <c r="E9" s="5" t="s">
        <v>500</v>
      </c>
      <c r="F9" s="14">
        <f>Rozvaha!E33</f>
        <v>0</v>
      </c>
      <c r="G9" s="14">
        <f>Rozvaha!F33</f>
        <v>0</v>
      </c>
      <c r="H9" s="14">
        <f>Rozvaha!G33</f>
        <v>0</v>
      </c>
      <c r="I9" s="14">
        <f>Rozvaha!H33</f>
        <v>0</v>
      </c>
    </row>
    <row r="10" spans="1:9" ht="75">
      <c r="A10" s="11">
        <v>9</v>
      </c>
      <c r="B10" s="5" t="s">
        <v>501</v>
      </c>
      <c r="C10" s="5" t="s">
        <v>502</v>
      </c>
      <c r="D10" s="5" t="s">
        <v>503</v>
      </c>
      <c r="E10" s="5" t="s">
        <v>504</v>
      </c>
      <c r="F10" s="14">
        <f>Rozvaha!E40</f>
        <v>0</v>
      </c>
      <c r="G10" s="14">
        <f>Rozvaha!F40</f>
        <v>0</v>
      </c>
      <c r="H10" s="14">
        <f>Rozvaha!G40</f>
        <v>0</v>
      </c>
      <c r="I10" s="14">
        <f>Rozvaha!H40</f>
        <v>0</v>
      </c>
    </row>
    <row r="11" spans="1:9" ht="75">
      <c r="A11" s="11">
        <v>10</v>
      </c>
      <c r="B11" s="5" t="s">
        <v>505</v>
      </c>
      <c r="C11" s="5" t="s">
        <v>506</v>
      </c>
      <c r="D11" s="5" t="s">
        <v>507</v>
      </c>
      <c r="E11" s="5" t="s">
        <v>504</v>
      </c>
      <c r="F11" s="14">
        <f>Rozvaha!E48</f>
        <v>753.76</v>
      </c>
      <c r="G11" s="14">
        <f>Rozvaha!F48</f>
        <v>0</v>
      </c>
      <c r="H11" s="14">
        <f>Rozvaha!G48</f>
        <v>753.76</v>
      </c>
      <c r="I11" s="14">
        <f>Rozvaha!H48</f>
        <v>0</v>
      </c>
    </row>
    <row r="12" spans="1:9" ht="30">
      <c r="A12" s="11">
        <v>11</v>
      </c>
      <c r="B12" s="5" t="s">
        <v>508</v>
      </c>
      <c r="C12" s="5" t="s">
        <v>509</v>
      </c>
      <c r="D12" s="5" t="s">
        <v>510</v>
      </c>
      <c r="E12" s="5" t="s">
        <v>511</v>
      </c>
      <c r="F12" s="14">
        <f>Rozvaha!E58</f>
        <v>140631.12</v>
      </c>
      <c r="G12" s="14">
        <f>Rozvaha!F58</f>
        <v>0</v>
      </c>
      <c r="H12" s="14">
        <f>Rozvaha!G58</f>
        <v>140631.12</v>
      </c>
      <c r="I12" s="14">
        <f>Rozvaha!H58</f>
        <v>0</v>
      </c>
    </row>
    <row r="13" spans="1:9">
      <c r="A13" s="11">
        <v>12</v>
      </c>
      <c r="B13" s="5" t="s">
        <v>512</v>
      </c>
      <c r="C13" s="5" t="s">
        <v>513</v>
      </c>
      <c r="D13" s="5" t="s">
        <v>514</v>
      </c>
      <c r="E13" s="5"/>
      <c r="F13" s="14">
        <f>Rozvaha!E63</f>
        <v>0</v>
      </c>
      <c r="G13" s="14">
        <f>Rozvaha!F63</f>
        <v>0</v>
      </c>
      <c r="H13" s="14">
        <f>Rozvaha!G63</f>
        <v>0</v>
      </c>
      <c r="I13" s="14">
        <f>Rozvaha!H63</f>
        <v>0</v>
      </c>
    </row>
    <row r="14" spans="1:9" s="11" customFormat="1">
      <c r="F14" s="14"/>
      <c r="G14" s="14"/>
      <c r="H14" s="14"/>
      <c r="I14" s="14"/>
    </row>
    <row r="15" spans="1:9" s="11" customFormat="1">
      <c r="F15" s="14"/>
      <c r="G15" s="14"/>
      <c r="H15" s="14"/>
      <c r="I15" s="14"/>
    </row>
    <row r="16" spans="1:9">
      <c r="A16" s="11">
        <v>13</v>
      </c>
      <c r="B16" s="5"/>
      <c r="C16" s="5" t="s">
        <v>515</v>
      </c>
      <c r="D16" s="6" t="s">
        <v>516</v>
      </c>
      <c r="H16" s="14">
        <f>Rozvaha!G69</f>
        <v>477341.88</v>
      </c>
      <c r="I16" s="14">
        <f>Rozvaha!H69</f>
        <v>0</v>
      </c>
    </row>
    <row r="17" spans="1:9">
      <c r="A17" s="11">
        <v>14</v>
      </c>
      <c r="B17" s="5" t="s">
        <v>212</v>
      </c>
      <c r="C17" s="5" t="s">
        <v>517</v>
      </c>
      <c r="D17" s="6" t="s">
        <v>518</v>
      </c>
      <c r="H17" s="14">
        <f>Rozvaha!G70</f>
        <v>475895.88</v>
      </c>
      <c r="I17" s="14">
        <f>Rozvaha!H70</f>
        <v>0</v>
      </c>
    </row>
    <row r="18" spans="1:9">
      <c r="A18" s="11">
        <v>15</v>
      </c>
      <c r="B18" s="5" t="s">
        <v>519</v>
      </c>
      <c r="C18" s="5" t="s">
        <v>520</v>
      </c>
      <c r="D18" s="6" t="s">
        <v>521</v>
      </c>
      <c r="H18" s="14">
        <f>Rozvaha!G71</f>
        <v>500000</v>
      </c>
      <c r="I18" s="14">
        <f>Rozvaha!H71</f>
        <v>0</v>
      </c>
    </row>
    <row r="19" spans="1:9">
      <c r="A19" s="11">
        <v>16</v>
      </c>
      <c r="B19" s="5" t="s">
        <v>522</v>
      </c>
      <c r="C19" s="5" t="s">
        <v>523</v>
      </c>
      <c r="D19" s="6" t="s">
        <v>524</v>
      </c>
      <c r="H19" s="14">
        <f>Rozvaha!G75</f>
        <v>0</v>
      </c>
      <c r="I19" s="14">
        <f>Rozvaha!H75</f>
        <v>0</v>
      </c>
    </row>
    <row r="20" spans="1:9">
      <c r="A20" s="11">
        <v>17</v>
      </c>
      <c r="B20" s="5" t="s">
        <v>525</v>
      </c>
      <c r="C20" s="5" t="s">
        <v>526</v>
      </c>
      <c r="D20" s="6" t="s">
        <v>527</v>
      </c>
      <c r="H20" s="14">
        <f>Rozvaha!G80</f>
        <v>0</v>
      </c>
      <c r="I20" s="14">
        <f>Rozvaha!H80</f>
        <v>0</v>
      </c>
    </row>
    <row r="21" spans="1:9">
      <c r="A21" s="11">
        <v>18</v>
      </c>
      <c r="B21" s="5" t="s">
        <v>528</v>
      </c>
      <c r="C21" s="5" t="s">
        <v>529</v>
      </c>
      <c r="D21" s="6" t="s">
        <v>530</v>
      </c>
      <c r="H21" s="14">
        <f>Rozvaha!G83</f>
        <v>0</v>
      </c>
      <c r="I21" s="14">
        <f>Rozvaha!H83</f>
        <v>0</v>
      </c>
    </row>
    <row r="22" spans="1:9">
      <c r="A22" s="11">
        <v>19</v>
      </c>
      <c r="B22" s="5" t="s">
        <v>531</v>
      </c>
      <c r="C22" s="5" t="s">
        <v>532</v>
      </c>
      <c r="D22" s="6" t="s">
        <v>533</v>
      </c>
      <c r="H22" s="14">
        <f>Rozvaha!G86</f>
        <v>-24104.119999999992</v>
      </c>
      <c r="I22" s="14">
        <f>Rozvaha!H86</f>
        <v>0</v>
      </c>
    </row>
    <row r="23" spans="1:9">
      <c r="A23" s="11">
        <v>20</v>
      </c>
      <c r="B23" s="5" t="s">
        <v>479</v>
      </c>
      <c r="C23" s="5" t="s">
        <v>534</v>
      </c>
      <c r="D23" s="6" t="s">
        <v>535</v>
      </c>
      <c r="H23" s="14">
        <f>Rozvaha!G87</f>
        <v>1446</v>
      </c>
      <c r="I23" s="14">
        <f>Rozvaha!H87</f>
        <v>0</v>
      </c>
    </row>
    <row r="24" spans="1:9">
      <c r="A24" s="11">
        <v>21</v>
      </c>
      <c r="B24" s="5" t="s">
        <v>482</v>
      </c>
      <c r="C24" s="5" t="s">
        <v>536</v>
      </c>
      <c r="D24" s="6" t="s">
        <v>537</v>
      </c>
      <c r="H24" s="14">
        <f>Rozvaha!G88</f>
        <v>0</v>
      </c>
      <c r="I24" s="14">
        <f>Rozvaha!H88</f>
        <v>0</v>
      </c>
    </row>
    <row r="25" spans="1:9" ht="75">
      <c r="A25" s="11">
        <v>22</v>
      </c>
      <c r="B25" s="5" t="s">
        <v>486</v>
      </c>
      <c r="C25" s="5" t="s">
        <v>538</v>
      </c>
      <c r="D25" s="6" t="s">
        <v>539</v>
      </c>
      <c r="H25" s="14">
        <f>Rozvaha!G93</f>
        <v>0</v>
      </c>
      <c r="I25" s="14">
        <f>Rozvaha!H93</f>
        <v>0</v>
      </c>
    </row>
    <row r="26" spans="1:9" ht="105">
      <c r="A26" s="11">
        <v>23</v>
      </c>
      <c r="B26" s="5" t="s">
        <v>490</v>
      </c>
      <c r="C26" s="5" t="s">
        <v>540</v>
      </c>
      <c r="D26" s="6" t="s">
        <v>541</v>
      </c>
      <c r="H26" s="14">
        <f>Rozvaha!G104</f>
        <v>1446</v>
      </c>
      <c r="I26" s="14">
        <f>Rozvaha!H104</f>
        <v>0</v>
      </c>
    </row>
    <row r="27" spans="1:9">
      <c r="A27" s="11">
        <v>24</v>
      </c>
      <c r="B27" s="5" t="s">
        <v>542</v>
      </c>
      <c r="C27" s="5" t="s">
        <v>543</v>
      </c>
      <c r="D27" s="6" t="s">
        <v>544</v>
      </c>
      <c r="H27" s="14">
        <f>Rozvaha!G116</f>
        <v>0</v>
      </c>
      <c r="I27" s="14">
        <f>Rozvaha!H116</f>
        <v>0</v>
      </c>
    </row>
    <row r="28" spans="1:9">
      <c r="A28" s="11">
        <v>25</v>
      </c>
      <c r="B28" s="5" t="s">
        <v>497</v>
      </c>
      <c r="C28" s="5" t="s">
        <v>513</v>
      </c>
      <c r="D28" s="6" t="s">
        <v>545</v>
      </c>
      <c r="H28" s="14">
        <f>Rozvaha!G120</f>
        <v>0</v>
      </c>
      <c r="I28" s="14">
        <f>Rozvaha!H120</f>
        <v>0</v>
      </c>
    </row>
  </sheetData>
  <mergeCells count="3">
    <mergeCell ref="D2:E2"/>
    <mergeCell ref="D4:E4"/>
    <mergeCell ref="D8:E8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4"/>
  <sheetViews>
    <sheetView topLeftCell="A34" workbookViewId="0">
      <selection activeCell="E9" sqref="E9"/>
    </sheetView>
  </sheetViews>
  <sheetFormatPr defaultRowHeight="15"/>
  <cols>
    <col min="1" max="1" width="9.140625" style="11"/>
    <col min="3" max="3" width="83.7109375" customWidth="1"/>
    <col min="4" max="4" width="69.7109375" customWidth="1"/>
    <col min="5" max="5" width="16.5703125" style="14" customWidth="1"/>
    <col min="6" max="6" width="11.28515625" bestFit="1" customWidth="1"/>
    <col min="7" max="7" width="14" bestFit="1" customWidth="1"/>
  </cols>
  <sheetData>
    <row r="1" spans="1:6" ht="30">
      <c r="A1" s="4" t="s">
        <v>886</v>
      </c>
      <c r="B1" s="16" t="s">
        <v>873</v>
      </c>
      <c r="C1" s="16" t="s">
        <v>874</v>
      </c>
      <c r="D1" s="16" t="s">
        <v>875</v>
      </c>
      <c r="E1" s="17" t="s">
        <v>884</v>
      </c>
      <c r="F1" s="18" t="s">
        <v>883</v>
      </c>
    </row>
    <row r="2" spans="1:6">
      <c r="A2" s="11">
        <v>1</v>
      </c>
      <c r="B2" s="9" t="s">
        <v>405</v>
      </c>
      <c r="C2" s="8" t="s">
        <v>737</v>
      </c>
      <c r="D2" s="8">
        <v>604</v>
      </c>
      <c r="E2" s="14">
        <f>IFERROR(VLOOKUP(604,obrat_syntetických_účtů!$B$2:$F$1000,5,FALSE),0)</f>
        <v>0</v>
      </c>
    </row>
    <row r="3" spans="1:6">
      <c r="A3" s="11">
        <v>2</v>
      </c>
      <c r="B3" s="9" t="s">
        <v>212</v>
      </c>
      <c r="C3" s="8" t="s">
        <v>738</v>
      </c>
      <c r="D3" s="8">
        <v>504</v>
      </c>
      <c r="E3" s="14">
        <f>IFERROR(VLOOKUP(504,obrat_syntetických_účtů!$B$2:$F$1000,5,FALSE),0)</f>
        <v>0</v>
      </c>
    </row>
    <row r="4" spans="1:6">
      <c r="A4" s="11">
        <v>3</v>
      </c>
      <c r="B4" s="9" t="s">
        <v>739</v>
      </c>
      <c r="C4" s="8" t="s">
        <v>740</v>
      </c>
      <c r="D4" s="8" t="s">
        <v>741</v>
      </c>
      <c r="E4" s="14">
        <f>E2-E3</f>
        <v>0</v>
      </c>
    </row>
    <row r="5" spans="1:6">
      <c r="A5" s="11">
        <v>4</v>
      </c>
      <c r="B5" s="9" t="s">
        <v>742</v>
      </c>
      <c r="C5" s="8" t="s">
        <v>743</v>
      </c>
      <c r="D5" s="10" t="s">
        <v>744</v>
      </c>
      <c r="E5" s="14">
        <f>SUM(E6:E8)</f>
        <v>225806</v>
      </c>
    </row>
    <row r="6" spans="1:6">
      <c r="A6" s="11">
        <v>5</v>
      </c>
      <c r="B6" s="9" t="s">
        <v>411</v>
      </c>
      <c r="C6" s="8" t="s">
        <v>745</v>
      </c>
      <c r="D6" s="8" t="s">
        <v>746</v>
      </c>
      <c r="E6" s="14">
        <f>IFERROR(VLOOKUP(601,obrat_syntetických_účtů!$B$2:$F$1000,5,FALSE),0)+IFERROR(VLOOKUP(602,obrat_syntetických_účtů!$B$2:$F$1000,5,FALSE),0)</f>
        <v>0</v>
      </c>
    </row>
    <row r="7" spans="1:6">
      <c r="A7" s="11">
        <v>6</v>
      </c>
      <c r="B7" s="9" t="s">
        <v>551</v>
      </c>
      <c r="C7" s="8" t="s">
        <v>747</v>
      </c>
      <c r="D7" s="8" t="s">
        <v>748</v>
      </c>
    </row>
    <row r="8" spans="1:6">
      <c r="A8" s="11">
        <v>7</v>
      </c>
      <c r="B8" s="9" t="s">
        <v>554</v>
      </c>
      <c r="C8" s="8" t="s">
        <v>749</v>
      </c>
      <c r="D8" s="8" t="s">
        <v>750</v>
      </c>
      <c r="E8" s="14">
        <f>IFERROR(VLOOKUP(624,obrat_syntetických_účtů!$B$2:$F$1000,5,FALSE),0)</f>
        <v>225806</v>
      </c>
    </row>
    <row r="9" spans="1:6">
      <c r="A9" s="11">
        <v>8</v>
      </c>
      <c r="B9" s="9" t="s">
        <v>479</v>
      </c>
      <c r="C9" s="8" t="s">
        <v>751</v>
      </c>
      <c r="D9" s="8" t="s">
        <v>752</v>
      </c>
      <c r="E9" s="14">
        <f>SUM(E10:E11)</f>
        <v>249838.21</v>
      </c>
    </row>
    <row r="10" spans="1:6">
      <c r="A10" s="11">
        <v>9</v>
      </c>
      <c r="B10" s="9" t="s">
        <v>316</v>
      </c>
      <c r="C10" s="8" t="s">
        <v>753</v>
      </c>
      <c r="D10" s="8" t="s">
        <v>754</v>
      </c>
      <c r="E10" s="14">
        <f>IFERROR(VLOOKUP(501,obrat_syntetických_účtů!$B$2:$F$1000,5,FALSE),0)</f>
        <v>247004.16</v>
      </c>
    </row>
    <row r="11" spans="1:6">
      <c r="A11" s="11">
        <v>10</v>
      </c>
      <c r="B11" s="9" t="s">
        <v>551</v>
      </c>
      <c r="C11" s="8" t="s">
        <v>755</v>
      </c>
      <c r="D11" s="8" t="s">
        <v>756</v>
      </c>
      <c r="E11" s="14">
        <f>IFERROR(VLOOKUP(511,obrat_syntetických_účtů!$B$2:$F$1000,5,FALSE),0)+IFERROR(VLOOKUP(518,obrat_syntetických_účtů!$B$2:$F$1000,5,FALSE),0)</f>
        <v>2834.05</v>
      </c>
    </row>
    <row r="12" spans="1:6">
      <c r="A12" s="11">
        <v>11</v>
      </c>
      <c r="B12" s="9" t="s">
        <v>739</v>
      </c>
      <c r="C12" s="8" t="s">
        <v>757</v>
      </c>
      <c r="D12" s="8" t="s">
        <v>758</v>
      </c>
      <c r="E12" s="14">
        <f>E2-E3+E5-E9</f>
        <v>-24032.209999999992</v>
      </c>
    </row>
    <row r="13" spans="1:6">
      <c r="A13" s="11">
        <v>12</v>
      </c>
      <c r="B13" s="9" t="s">
        <v>494</v>
      </c>
      <c r="C13" s="8" t="s">
        <v>759</v>
      </c>
      <c r="D13" s="10" t="s">
        <v>760</v>
      </c>
      <c r="E13" s="14">
        <f>SUM(E14:E17)</f>
        <v>0</v>
      </c>
    </row>
    <row r="14" spans="1:6">
      <c r="A14" s="11">
        <v>13</v>
      </c>
      <c r="B14" s="9" t="s">
        <v>328</v>
      </c>
      <c r="C14" s="8" t="s">
        <v>761</v>
      </c>
      <c r="D14" s="8" t="s">
        <v>762</v>
      </c>
    </row>
    <row r="15" spans="1:6">
      <c r="A15" s="11">
        <v>14</v>
      </c>
      <c r="B15" s="9" t="s">
        <v>551</v>
      </c>
      <c r="C15" s="8" t="s">
        <v>763</v>
      </c>
      <c r="D15" s="8">
        <v>523</v>
      </c>
    </row>
    <row r="16" spans="1:6">
      <c r="A16" s="11">
        <v>15</v>
      </c>
      <c r="B16" s="9" t="s">
        <v>554</v>
      </c>
      <c r="C16" s="8" t="s">
        <v>764</v>
      </c>
      <c r="D16" s="8" t="s">
        <v>765</v>
      </c>
    </row>
    <row r="17" spans="1:5">
      <c r="A17" s="11">
        <v>16</v>
      </c>
      <c r="B17" s="9" t="s">
        <v>557</v>
      </c>
      <c r="C17" s="8" t="s">
        <v>766</v>
      </c>
      <c r="D17" s="8" t="s">
        <v>767</v>
      </c>
    </row>
    <row r="18" spans="1:5">
      <c r="A18" s="11">
        <v>17</v>
      </c>
      <c r="B18" s="9" t="s">
        <v>341</v>
      </c>
      <c r="C18" s="8" t="s">
        <v>768</v>
      </c>
      <c r="D18" s="8" t="s">
        <v>769</v>
      </c>
    </row>
    <row r="19" spans="1:5">
      <c r="A19" s="11">
        <v>18</v>
      </c>
      <c r="B19" s="9" t="s">
        <v>358</v>
      </c>
      <c r="C19" s="8" t="s">
        <v>770</v>
      </c>
      <c r="D19" s="8">
        <v>551</v>
      </c>
    </row>
    <row r="20" spans="1:5">
      <c r="A20" s="11">
        <v>19</v>
      </c>
      <c r="B20" s="9" t="s">
        <v>771</v>
      </c>
      <c r="C20" s="8" t="s">
        <v>772</v>
      </c>
      <c r="D20" s="8" t="s">
        <v>773</v>
      </c>
      <c r="E20" s="14">
        <f>SUM(E21:E22)</f>
        <v>0</v>
      </c>
    </row>
    <row r="21" spans="1:5">
      <c r="A21" s="11">
        <v>20</v>
      </c>
      <c r="B21" s="9" t="s">
        <v>428</v>
      </c>
      <c r="C21" s="8" t="s">
        <v>774</v>
      </c>
      <c r="D21" s="8">
        <v>641</v>
      </c>
    </row>
    <row r="22" spans="1:5">
      <c r="A22" s="11">
        <v>21</v>
      </c>
      <c r="B22" s="9" t="s">
        <v>551</v>
      </c>
      <c r="C22" s="8" t="s">
        <v>775</v>
      </c>
      <c r="D22" s="8">
        <v>642</v>
      </c>
    </row>
    <row r="23" spans="1:5">
      <c r="A23" s="11">
        <v>22</v>
      </c>
      <c r="B23" s="9" t="s">
        <v>776</v>
      </c>
      <c r="C23" s="8" t="s">
        <v>777</v>
      </c>
      <c r="D23" s="8" t="s">
        <v>778</v>
      </c>
      <c r="E23" s="14">
        <f>SUM(E24:E25)</f>
        <v>0</v>
      </c>
    </row>
    <row r="24" spans="1:5">
      <c r="A24" s="11">
        <v>23</v>
      </c>
      <c r="B24" s="9" t="s">
        <v>346</v>
      </c>
      <c r="C24" s="8" t="s">
        <v>779</v>
      </c>
      <c r="D24" s="8">
        <v>541</v>
      </c>
    </row>
    <row r="25" spans="1:5">
      <c r="A25" s="11">
        <v>24</v>
      </c>
      <c r="B25" s="9" t="s">
        <v>551</v>
      </c>
      <c r="C25" s="8" t="s">
        <v>780</v>
      </c>
      <c r="D25" s="8">
        <v>542</v>
      </c>
    </row>
    <row r="26" spans="1:5" ht="30">
      <c r="A26" s="11">
        <v>25</v>
      </c>
      <c r="B26" s="9" t="s">
        <v>360</v>
      </c>
      <c r="C26" s="8" t="s">
        <v>781</v>
      </c>
      <c r="D26" s="8" t="s">
        <v>782</v>
      </c>
    </row>
    <row r="27" spans="1:5">
      <c r="A27" s="11">
        <v>26</v>
      </c>
      <c r="B27" s="9" t="s">
        <v>432</v>
      </c>
      <c r="C27" s="8" t="s">
        <v>783</v>
      </c>
      <c r="D27" s="8" t="s">
        <v>784</v>
      </c>
    </row>
    <row r="28" spans="1:5">
      <c r="A28" s="11">
        <v>27</v>
      </c>
      <c r="B28" s="9" t="s">
        <v>350</v>
      </c>
      <c r="C28" s="8" t="s">
        <v>785</v>
      </c>
      <c r="D28" s="8" t="s">
        <v>786</v>
      </c>
    </row>
    <row r="29" spans="1:5">
      <c r="A29" s="11">
        <v>28</v>
      </c>
      <c r="B29" s="9" t="s">
        <v>457</v>
      </c>
      <c r="C29" s="8" t="s">
        <v>787</v>
      </c>
      <c r="D29" s="8" t="s">
        <v>788</v>
      </c>
    </row>
    <row r="30" spans="1:5">
      <c r="A30" s="11">
        <v>29</v>
      </c>
      <c r="B30" s="9" t="s">
        <v>405</v>
      </c>
      <c r="C30" s="8" t="s">
        <v>789</v>
      </c>
      <c r="D30" s="8" t="s">
        <v>790</v>
      </c>
    </row>
    <row r="31" spans="1:5">
      <c r="A31" s="11">
        <v>30</v>
      </c>
      <c r="B31" s="23" t="s">
        <v>791</v>
      </c>
      <c r="C31" s="24" t="s">
        <v>792</v>
      </c>
      <c r="D31" s="24" t="s">
        <v>793</v>
      </c>
      <c r="E31" s="25">
        <f>E2-E3+E5-E9-E13-E18-E19+E20-E23-E26+E27-E28+E29-E30</f>
        <v>-24032.209999999992</v>
      </c>
    </row>
    <row r="32" spans="1:5">
      <c r="A32" s="11">
        <v>31</v>
      </c>
      <c r="B32" s="9" t="s">
        <v>437</v>
      </c>
      <c r="C32" s="8" t="s">
        <v>794</v>
      </c>
      <c r="D32" s="8">
        <v>661</v>
      </c>
    </row>
    <row r="33" spans="1:5">
      <c r="A33" s="11">
        <v>32</v>
      </c>
      <c r="B33" s="9" t="s">
        <v>368</v>
      </c>
      <c r="C33" s="8" t="s">
        <v>795</v>
      </c>
      <c r="D33" s="8">
        <v>561</v>
      </c>
    </row>
    <row r="34" spans="1:5">
      <c r="A34" s="11">
        <v>33</v>
      </c>
      <c r="B34" s="9" t="s">
        <v>796</v>
      </c>
      <c r="C34" s="8" t="s">
        <v>797</v>
      </c>
      <c r="D34" s="10" t="s">
        <v>798</v>
      </c>
      <c r="E34" s="14">
        <f>SUM(E35:E37)</f>
        <v>0</v>
      </c>
    </row>
    <row r="35" spans="1:5" ht="30">
      <c r="A35" s="11">
        <v>34</v>
      </c>
      <c r="B35" s="9" t="s">
        <v>799</v>
      </c>
      <c r="C35" s="8" t="s">
        <v>800</v>
      </c>
      <c r="D35" s="8" t="s">
        <v>801</v>
      </c>
    </row>
    <row r="36" spans="1:5">
      <c r="A36" s="11">
        <v>35</v>
      </c>
      <c r="B36" s="9" t="s">
        <v>551</v>
      </c>
      <c r="C36" s="8" t="s">
        <v>802</v>
      </c>
      <c r="D36" s="8" t="s">
        <v>801</v>
      </c>
    </row>
    <row r="37" spans="1:5">
      <c r="A37" s="11">
        <v>36</v>
      </c>
      <c r="B37" s="9" t="s">
        <v>554</v>
      </c>
      <c r="C37" s="8" t="s">
        <v>803</v>
      </c>
      <c r="D37" s="8" t="s">
        <v>801</v>
      </c>
    </row>
    <row r="38" spans="1:5">
      <c r="A38" s="11">
        <v>37</v>
      </c>
      <c r="B38" s="9" t="s">
        <v>447</v>
      </c>
      <c r="C38" s="8" t="s">
        <v>804</v>
      </c>
      <c r="D38" s="8">
        <v>666</v>
      </c>
    </row>
    <row r="39" spans="1:5">
      <c r="A39" s="11">
        <v>38</v>
      </c>
      <c r="B39" s="9" t="s">
        <v>376</v>
      </c>
      <c r="C39" s="8" t="s">
        <v>805</v>
      </c>
      <c r="D39" s="8">
        <v>566</v>
      </c>
    </row>
    <row r="40" spans="1:5">
      <c r="A40" s="11">
        <v>39</v>
      </c>
      <c r="B40" s="9" t="s">
        <v>443</v>
      </c>
      <c r="C40" s="8" t="s">
        <v>806</v>
      </c>
      <c r="D40" s="8" t="s">
        <v>807</v>
      </c>
    </row>
    <row r="41" spans="1:5">
      <c r="A41" s="11">
        <v>40</v>
      </c>
      <c r="B41" s="9" t="s">
        <v>374</v>
      </c>
      <c r="C41" s="8" t="s">
        <v>808</v>
      </c>
      <c r="D41" s="8" t="s">
        <v>809</v>
      </c>
    </row>
    <row r="42" spans="1:5">
      <c r="A42" s="11">
        <v>41</v>
      </c>
      <c r="B42" s="9" t="s">
        <v>383</v>
      </c>
      <c r="C42" s="8" t="s">
        <v>810</v>
      </c>
      <c r="D42" s="8" t="s">
        <v>811</v>
      </c>
    </row>
    <row r="43" spans="1:5">
      <c r="A43" s="11">
        <v>42</v>
      </c>
      <c r="B43" s="9" t="s">
        <v>439</v>
      </c>
      <c r="C43" s="8" t="s">
        <v>812</v>
      </c>
      <c r="D43" s="8">
        <v>662</v>
      </c>
      <c r="E43" s="14">
        <f>IFERROR(VLOOKUP(662,obrat_syntetických_účtů!$B$2:$F$1000,5,FALSE),0)</f>
        <v>59.09</v>
      </c>
    </row>
    <row r="44" spans="1:5">
      <c r="A44" s="11">
        <v>43</v>
      </c>
      <c r="B44" s="9" t="s">
        <v>370</v>
      </c>
      <c r="C44" s="8" t="s">
        <v>813</v>
      </c>
      <c r="D44" s="8">
        <v>562</v>
      </c>
    </row>
    <row r="45" spans="1:5">
      <c r="A45" s="11">
        <v>44</v>
      </c>
      <c r="B45" s="9" t="s">
        <v>441</v>
      </c>
      <c r="C45" s="8" t="s">
        <v>814</v>
      </c>
      <c r="D45" s="8" t="s">
        <v>815</v>
      </c>
    </row>
    <row r="46" spans="1:5">
      <c r="A46" s="11">
        <v>45</v>
      </c>
      <c r="B46" s="9" t="s">
        <v>372</v>
      </c>
      <c r="C46" s="8" t="s">
        <v>816</v>
      </c>
      <c r="D46" s="8" t="s">
        <v>817</v>
      </c>
      <c r="E46" s="14">
        <f>IFERROR(VLOOKUP(568,obrat_syntetických_účtů!$B$2:$F$1000,5,FALSE),0)</f>
        <v>131</v>
      </c>
    </row>
    <row r="47" spans="1:5">
      <c r="A47" s="11">
        <v>46</v>
      </c>
      <c r="B47" s="9" t="s">
        <v>459</v>
      </c>
      <c r="C47" s="8" t="s">
        <v>818</v>
      </c>
      <c r="D47" s="8" t="s">
        <v>819</v>
      </c>
    </row>
    <row r="48" spans="1:5">
      <c r="A48" s="11">
        <v>47</v>
      </c>
      <c r="B48" s="9" t="s">
        <v>407</v>
      </c>
      <c r="C48" s="8" t="s">
        <v>820</v>
      </c>
      <c r="D48" s="8" t="s">
        <v>821</v>
      </c>
    </row>
    <row r="49" spans="1:7">
      <c r="A49" s="11">
        <v>48</v>
      </c>
      <c r="B49" s="23" t="s">
        <v>791</v>
      </c>
      <c r="C49" s="24" t="s">
        <v>822</v>
      </c>
      <c r="D49" s="24" t="s">
        <v>823</v>
      </c>
      <c r="E49" s="25">
        <f>E32-E33+E34+E38-E39+E40-E41-E42+E43-E44+E45-E46+E47-E48</f>
        <v>-71.91</v>
      </c>
    </row>
    <row r="50" spans="1:7">
      <c r="A50" s="11">
        <v>49</v>
      </c>
      <c r="B50" s="9" t="s">
        <v>824</v>
      </c>
      <c r="C50" s="8" t="s">
        <v>825</v>
      </c>
      <c r="D50" s="8" t="s">
        <v>826</v>
      </c>
    </row>
    <row r="51" spans="1:7">
      <c r="A51" s="11">
        <v>50</v>
      </c>
      <c r="B51" s="9" t="s">
        <v>394</v>
      </c>
      <c r="C51" s="8" t="s">
        <v>827</v>
      </c>
      <c r="D51" s="8" t="s">
        <v>828</v>
      </c>
    </row>
    <row r="52" spans="1:7">
      <c r="A52" s="11">
        <v>51</v>
      </c>
      <c r="B52" s="9" t="s">
        <v>551</v>
      </c>
      <c r="C52" s="8" t="s">
        <v>829</v>
      </c>
      <c r="D52" s="8" t="s">
        <v>830</v>
      </c>
    </row>
    <row r="53" spans="1:7">
      <c r="A53" s="11">
        <v>52</v>
      </c>
      <c r="B53" s="9" t="s">
        <v>831</v>
      </c>
      <c r="C53" s="8" t="s">
        <v>832</v>
      </c>
      <c r="D53" s="8" t="s">
        <v>833</v>
      </c>
    </row>
    <row r="54" spans="1:7">
      <c r="A54" s="11">
        <v>53</v>
      </c>
      <c r="B54" s="9" t="s">
        <v>453</v>
      </c>
      <c r="C54" s="8" t="s">
        <v>834</v>
      </c>
      <c r="D54" s="8" t="s">
        <v>835</v>
      </c>
    </row>
    <row r="55" spans="1:7">
      <c r="A55" s="11">
        <v>54</v>
      </c>
      <c r="B55" s="9" t="s">
        <v>387</v>
      </c>
      <c r="C55" s="8" t="s">
        <v>836</v>
      </c>
      <c r="D55" s="8" t="s">
        <v>837</v>
      </c>
    </row>
    <row r="56" spans="1:7">
      <c r="A56" s="11">
        <v>55</v>
      </c>
      <c r="B56" s="9" t="s">
        <v>838</v>
      </c>
      <c r="C56" s="8" t="s">
        <v>839</v>
      </c>
      <c r="D56" s="8" t="s">
        <v>840</v>
      </c>
      <c r="E56" s="14">
        <f>SUM(E57:E58)</f>
        <v>0</v>
      </c>
    </row>
    <row r="57" spans="1:7">
      <c r="A57" s="11">
        <v>56</v>
      </c>
      <c r="B57" s="9" t="s">
        <v>398</v>
      </c>
      <c r="C57" s="8" t="s">
        <v>827</v>
      </c>
      <c r="D57" s="8">
        <v>593</v>
      </c>
    </row>
    <row r="58" spans="1:7">
      <c r="A58" s="11">
        <v>57</v>
      </c>
      <c r="B58" s="9" t="s">
        <v>551</v>
      </c>
      <c r="C58" s="8" t="s">
        <v>829</v>
      </c>
      <c r="D58" s="8" t="s">
        <v>841</v>
      </c>
    </row>
    <row r="59" spans="1:7">
      <c r="A59" s="11">
        <v>58</v>
      </c>
      <c r="B59" s="23" t="s">
        <v>791</v>
      </c>
      <c r="C59" s="24" t="s">
        <v>842</v>
      </c>
      <c r="D59" s="24" t="s">
        <v>843</v>
      </c>
      <c r="E59" s="25">
        <f>E54-E55-E56</f>
        <v>0</v>
      </c>
    </row>
    <row r="60" spans="1:7">
      <c r="A60" s="11">
        <v>59</v>
      </c>
      <c r="B60" s="9" t="s">
        <v>403</v>
      </c>
      <c r="C60" s="8" t="s">
        <v>844</v>
      </c>
      <c r="D60" s="8" t="s">
        <v>845</v>
      </c>
    </row>
    <row r="61" spans="1:7">
      <c r="A61" s="11">
        <v>60</v>
      </c>
      <c r="B61" s="26" t="s">
        <v>846</v>
      </c>
      <c r="C61" s="27" t="s">
        <v>847</v>
      </c>
      <c r="D61" s="27" t="s">
        <v>848</v>
      </c>
      <c r="E61" s="28">
        <f>E31+E49+E59</f>
        <v>-24104.119999999992</v>
      </c>
    </row>
    <row r="62" spans="1:7">
      <c r="A62" s="11">
        <v>61</v>
      </c>
      <c r="B62" s="9" t="s">
        <v>872</v>
      </c>
      <c r="C62" t="s">
        <v>871</v>
      </c>
    </row>
    <row r="63" spans="1:7">
      <c r="G63">
        <v>24104</v>
      </c>
    </row>
    <row r="64" spans="1:7">
      <c r="G64" s="14">
        <f>G63+E61</f>
        <v>-0.11999999999170541</v>
      </c>
    </row>
  </sheetData>
  <pageMargins left="0.7" right="0.7" top="0.78740157499999996" bottom="0.78740157499999996" header="0.3" footer="0.3"/>
  <pageSetup paperSize="9" orientation="portrait" horizontalDpi="12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2"/>
  <sheetViews>
    <sheetView workbookViewId="0">
      <selection activeCell="C33" sqref="C33"/>
    </sheetView>
  </sheetViews>
  <sheetFormatPr defaultRowHeight="15"/>
  <cols>
    <col min="1" max="1" width="9.140625" style="11"/>
    <col min="3" max="3" width="74.42578125" customWidth="1"/>
    <col min="4" max="4" width="82.85546875" customWidth="1"/>
    <col min="5" max="5" width="14" style="14" bestFit="1" customWidth="1"/>
    <col min="6" max="6" width="9.140625" style="14"/>
  </cols>
  <sheetData>
    <row r="1" spans="1:6" ht="30">
      <c r="A1" s="4" t="s">
        <v>886</v>
      </c>
      <c r="B1" s="16" t="s">
        <v>873</v>
      </c>
      <c r="C1" s="16" t="s">
        <v>874</v>
      </c>
      <c r="D1" s="16" t="s">
        <v>875</v>
      </c>
      <c r="E1" s="17" t="s">
        <v>884</v>
      </c>
      <c r="F1" s="18" t="s">
        <v>883</v>
      </c>
    </row>
    <row r="2" spans="1:6">
      <c r="A2" s="11">
        <v>1</v>
      </c>
      <c r="B2" s="2" t="s">
        <v>405</v>
      </c>
      <c r="C2" s="2" t="s">
        <v>737</v>
      </c>
      <c r="D2" s="2">
        <v>604</v>
      </c>
      <c r="E2" s="14">
        <f>VKZS!E2</f>
        <v>0</v>
      </c>
    </row>
    <row r="3" spans="1:6">
      <c r="A3" s="11">
        <v>2</v>
      </c>
      <c r="B3" s="2" t="s">
        <v>212</v>
      </c>
      <c r="C3" s="2" t="s">
        <v>738</v>
      </c>
      <c r="D3" s="2">
        <v>504</v>
      </c>
      <c r="E3" s="14">
        <f>VKZS!E3</f>
        <v>0</v>
      </c>
    </row>
    <row r="4" spans="1:6">
      <c r="A4" s="11">
        <v>3</v>
      </c>
      <c r="B4" s="2" t="s">
        <v>849</v>
      </c>
      <c r="C4" s="2" t="s">
        <v>740</v>
      </c>
      <c r="D4" s="2" t="s">
        <v>850</v>
      </c>
      <c r="E4" s="14">
        <f>VKZS!E4</f>
        <v>0</v>
      </c>
    </row>
    <row r="5" spans="1:6">
      <c r="A5" s="11">
        <v>4</v>
      </c>
      <c r="B5" s="2" t="s">
        <v>742</v>
      </c>
      <c r="C5" s="2" t="s">
        <v>743</v>
      </c>
      <c r="D5" s="2" t="s">
        <v>851</v>
      </c>
      <c r="E5" s="14">
        <f>VKZS!E5</f>
        <v>225806</v>
      </c>
    </row>
    <row r="6" spans="1:6">
      <c r="A6" s="11">
        <v>5</v>
      </c>
      <c r="B6" s="2" t="s">
        <v>479</v>
      </c>
      <c r="C6" s="2" t="s">
        <v>751</v>
      </c>
      <c r="D6" s="2" t="s">
        <v>852</v>
      </c>
      <c r="E6" s="14">
        <f>VKZS!E9</f>
        <v>249838.21</v>
      </c>
    </row>
    <row r="7" spans="1:6">
      <c r="A7" s="11">
        <v>6</v>
      </c>
      <c r="B7" s="2" t="s">
        <v>849</v>
      </c>
      <c r="C7" s="2" t="s">
        <v>757</v>
      </c>
      <c r="D7" s="2" t="s">
        <v>853</v>
      </c>
      <c r="E7" s="14">
        <f>VKZS!E12</f>
        <v>-24032.209999999992</v>
      </c>
    </row>
    <row r="8" spans="1:6">
      <c r="A8" s="11">
        <v>7</v>
      </c>
      <c r="B8" s="2" t="s">
        <v>494</v>
      </c>
      <c r="C8" s="2" t="s">
        <v>759</v>
      </c>
      <c r="D8" s="2" t="s">
        <v>854</v>
      </c>
      <c r="E8" s="14">
        <f>VKZS!E13</f>
        <v>0</v>
      </c>
    </row>
    <row r="9" spans="1:6">
      <c r="A9" s="11">
        <v>8</v>
      </c>
      <c r="B9" s="2" t="s">
        <v>341</v>
      </c>
      <c r="C9" s="2" t="s">
        <v>855</v>
      </c>
      <c r="D9" s="2" t="s">
        <v>769</v>
      </c>
      <c r="E9" s="14">
        <f>VKZS!E18</f>
        <v>0</v>
      </c>
    </row>
    <row r="10" spans="1:6">
      <c r="A10" s="11">
        <v>9</v>
      </c>
      <c r="B10" s="2" t="s">
        <v>358</v>
      </c>
      <c r="C10" s="2" t="s">
        <v>770</v>
      </c>
      <c r="D10" s="2">
        <v>551</v>
      </c>
      <c r="E10" s="14">
        <f>VKZS!E19</f>
        <v>0</v>
      </c>
    </row>
    <row r="11" spans="1:6">
      <c r="A11" s="11">
        <v>10</v>
      </c>
      <c r="B11" s="2" t="s">
        <v>771</v>
      </c>
      <c r="C11" s="2" t="s">
        <v>772</v>
      </c>
      <c r="D11" s="2" t="s">
        <v>856</v>
      </c>
      <c r="E11" s="14">
        <f>VKZS!E20</f>
        <v>0</v>
      </c>
    </row>
    <row r="12" spans="1:6">
      <c r="A12" s="11">
        <v>11</v>
      </c>
      <c r="B12" s="2" t="s">
        <v>776</v>
      </c>
      <c r="C12" s="2" t="s">
        <v>777</v>
      </c>
      <c r="D12" s="2" t="s">
        <v>857</v>
      </c>
      <c r="E12" s="14">
        <f>VKZS!E23</f>
        <v>0</v>
      </c>
    </row>
    <row r="13" spans="1:6" ht="30">
      <c r="A13" s="11">
        <v>12</v>
      </c>
      <c r="B13" s="2" t="s">
        <v>360</v>
      </c>
      <c r="C13" s="2" t="s">
        <v>781</v>
      </c>
      <c r="D13" s="2" t="s">
        <v>782</v>
      </c>
      <c r="E13" s="14">
        <f>VKZS!E26</f>
        <v>0</v>
      </c>
    </row>
    <row r="14" spans="1:6">
      <c r="A14" s="11">
        <v>13</v>
      </c>
      <c r="B14" s="2" t="s">
        <v>432</v>
      </c>
      <c r="C14" s="2" t="s">
        <v>783</v>
      </c>
      <c r="D14" s="2" t="s">
        <v>784</v>
      </c>
      <c r="E14" s="14">
        <f>VKZS!E27</f>
        <v>0</v>
      </c>
    </row>
    <row r="15" spans="1:6">
      <c r="A15" s="11">
        <v>14</v>
      </c>
      <c r="B15" s="2" t="s">
        <v>350</v>
      </c>
      <c r="C15" s="2" t="s">
        <v>785</v>
      </c>
      <c r="D15" s="2" t="s">
        <v>786</v>
      </c>
      <c r="E15" s="14">
        <f>VKZS!E28</f>
        <v>0</v>
      </c>
    </row>
    <row r="16" spans="1:6">
      <c r="A16" s="11">
        <v>15</v>
      </c>
      <c r="B16" s="2" t="s">
        <v>457</v>
      </c>
      <c r="C16" s="2" t="s">
        <v>787</v>
      </c>
      <c r="D16" s="2" t="s">
        <v>788</v>
      </c>
      <c r="E16" s="14">
        <f>VKZS!E29</f>
        <v>0</v>
      </c>
    </row>
    <row r="17" spans="1:5">
      <c r="A17" s="11">
        <v>16</v>
      </c>
      <c r="B17" s="2" t="s">
        <v>405</v>
      </c>
      <c r="C17" s="2" t="s">
        <v>789</v>
      </c>
      <c r="D17" s="2" t="s">
        <v>790</v>
      </c>
      <c r="E17" s="14">
        <f>VKZS!E30</f>
        <v>0</v>
      </c>
    </row>
    <row r="18" spans="1:5">
      <c r="A18" s="11">
        <v>17</v>
      </c>
      <c r="B18" s="2" t="s">
        <v>858</v>
      </c>
      <c r="C18" s="2" t="s">
        <v>792</v>
      </c>
      <c r="D18" s="2" t="s">
        <v>859</v>
      </c>
      <c r="E18" s="14">
        <f>VKZS!E31</f>
        <v>-24032.209999999992</v>
      </c>
    </row>
    <row r="19" spans="1:5">
      <c r="A19" s="11">
        <v>18</v>
      </c>
      <c r="B19" s="2" t="s">
        <v>437</v>
      </c>
      <c r="C19" s="2" t="s">
        <v>794</v>
      </c>
      <c r="D19" s="2">
        <v>661</v>
      </c>
      <c r="E19" s="14">
        <f>VKZS!E32</f>
        <v>0</v>
      </c>
    </row>
    <row r="20" spans="1:5">
      <c r="A20" s="11">
        <v>19</v>
      </c>
      <c r="B20" s="2" t="s">
        <v>368</v>
      </c>
      <c r="C20" s="2" t="s">
        <v>795</v>
      </c>
      <c r="D20" s="2">
        <v>561</v>
      </c>
      <c r="E20" s="14">
        <f>VKZS!E33</f>
        <v>0</v>
      </c>
    </row>
    <row r="21" spans="1:5">
      <c r="A21" s="11">
        <v>20</v>
      </c>
      <c r="B21" s="2" t="s">
        <v>796</v>
      </c>
      <c r="C21" s="2" t="s">
        <v>797</v>
      </c>
      <c r="D21" s="2">
        <v>665</v>
      </c>
      <c r="E21" s="14">
        <f>VKZS!E34</f>
        <v>0</v>
      </c>
    </row>
    <row r="22" spans="1:5">
      <c r="A22" s="11">
        <v>21</v>
      </c>
      <c r="B22" s="2" t="s">
        <v>447</v>
      </c>
      <c r="C22" s="2" t="s">
        <v>804</v>
      </c>
      <c r="D22" s="2">
        <v>666</v>
      </c>
      <c r="E22" s="14">
        <f>VKZS!E38</f>
        <v>0</v>
      </c>
    </row>
    <row r="23" spans="1:5">
      <c r="A23" s="11">
        <v>22</v>
      </c>
      <c r="B23" s="2" t="s">
        <v>376</v>
      </c>
      <c r="C23" s="2" t="s">
        <v>805</v>
      </c>
      <c r="D23" s="2">
        <v>566</v>
      </c>
      <c r="E23" s="14">
        <f>VKZS!E39</f>
        <v>0</v>
      </c>
    </row>
    <row r="24" spans="1:5">
      <c r="A24" s="11">
        <v>23</v>
      </c>
      <c r="B24" s="2" t="s">
        <v>443</v>
      </c>
      <c r="C24" s="2" t="s">
        <v>806</v>
      </c>
      <c r="D24" s="2" t="s">
        <v>807</v>
      </c>
      <c r="E24" s="14">
        <f>VKZS!E40</f>
        <v>0</v>
      </c>
    </row>
    <row r="25" spans="1:5">
      <c r="A25" s="11">
        <v>24</v>
      </c>
      <c r="B25" s="2" t="s">
        <v>374</v>
      </c>
      <c r="C25" s="2" t="s">
        <v>808</v>
      </c>
      <c r="D25" s="2" t="s">
        <v>809</v>
      </c>
      <c r="E25" s="14">
        <f>VKZS!E41</f>
        <v>0</v>
      </c>
    </row>
    <row r="26" spans="1:5">
      <c r="A26" s="11">
        <v>25</v>
      </c>
      <c r="B26" s="2" t="s">
        <v>383</v>
      </c>
      <c r="C26" s="2" t="s">
        <v>810</v>
      </c>
      <c r="D26" s="2" t="s">
        <v>811</v>
      </c>
      <c r="E26" s="14">
        <f>VKZS!E42</f>
        <v>0</v>
      </c>
    </row>
    <row r="27" spans="1:5">
      <c r="A27" s="11">
        <v>26</v>
      </c>
      <c r="B27" s="2" t="s">
        <v>439</v>
      </c>
      <c r="C27" s="2" t="s">
        <v>812</v>
      </c>
      <c r="D27" s="2">
        <v>662</v>
      </c>
      <c r="E27" s="14">
        <f>VKZS!E43</f>
        <v>59.09</v>
      </c>
    </row>
    <row r="28" spans="1:5">
      <c r="A28" s="11">
        <v>27</v>
      </c>
      <c r="B28" s="2" t="s">
        <v>370</v>
      </c>
      <c r="C28" s="2" t="s">
        <v>813</v>
      </c>
      <c r="D28" s="2">
        <v>562</v>
      </c>
      <c r="E28" s="14">
        <f>VKZS!E44</f>
        <v>0</v>
      </c>
    </row>
    <row r="29" spans="1:5">
      <c r="A29" s="11">
        <v>28</v>
      </c>
      <c r="B29" s="2" t="s">
        <v>441</v>
      </c>
      <c r="C29" s="2" t="s">
        <v>814</v>
      </c>
      <c r="D29" s="2" t="s">
        <v>815</v>
      </c>
      <c r="E29" s="14">
        <f>VKZS!E45</f>
        <v>0</v>
      </c>
    </row>
    <row r="30" spans="1:5">
      <c r="A30" s="11">
        <v>29</v>
      </c>
      <c r="B30" s="2" t="s">
        <v>372</v>
      </c>
      <c r="C30" s="2" t="s">
        <v>816</v>
      </c>
      <c r="D30" s="2" t="s">
        <v>817</v>
      </c>
      <c r="E30" s="14">
        <f>VKZS!E46</f>
        <v>131</v>
      </c>
    </row>
    <row r="31" spans="1:5">
      <c r="A31" s="11">
        <v>30</v>
      </c>
      <c r="B31" s="2" t="s">
        <v>459</v>
      </c>
      <c r="C31" s="2" t="s">
        <v>818</v>
      </c>
      <c r="D31" s="2" t="s">
        <v>819</v>
      </c>
      <c r="E31" s="14">
        <f>VKZS!E47</f>
        <v>0</v>
      </c>
    </row>
    <row r="32" spans="1:5">
      <c r="A32" s="11">
        <v>31</v>
      </c>
      <c r="B32" s="2" t="s">
        <v>407</v>
      </c>
      <c r="C32" s="2" t="s">
        <v>820</v>
      </c>
      <c r="D32" s="2" t="s">
        <v>821</v>
      </c>
      <c r="E32" s="14">
        <f>VKZS!E48</f>
        <v>0</v>
      </c>
    </row>
    <row r="33" spans="1:5">
      <c r="A33" s="11">
        <v>32</v>
      </c>
      <c r="B33" s="2" t="s">
        <v>858</v>
      </c>
      <c r="C33" s="2" t="s">
        <v>822</v>
      </c>
      <c r="D33" s="2" t="s">
        <v>860</v>
      </c>
      <c r="E33" s="14">
        <f>VKZS!E49</f>
        <v>-71.91</v>
      </c>
    </row>
    <row r="34" spans="1:5">
      <c r="A34" s="11">
        <v>33</v>
      </c>
      <c r="B34" s="2" t="s">
        <v>824</v>
      </c>
      <c r="C34" s="2" t="s">
        <v>825</v>
      </c>
      <c r="D34" s="2" t="s">
        <v>861</v>
      </c>
      <c r="E34" s="14">
        <f>VKZS!E50</f>
        <v>0</v>
      </c>
    </row>
    <row r="35" spans="1:5">
      <c r="A35" s="11">
        <v>34</v>
      </c>
      <c r="B35" s="2" t="s">
        <v>862</v>
      </c>
      <c r="C35" s="2" t="s">
        <v>832</v>
      </c>
      <c r="D35" s="2" t="s">
        <v>863</v>
      </c>
      <c r="E35" s="14">
        <f>VKZS!E53</f>
        <v>0</v>
      </c>
    </row>
    <row r="36" spans="1:5">
      <c r="A36" s="11">
        <v>35</v>
      </c>
      <c r="B36" s="2" t="s">
        <v>453</v>
      </c>
      <c r="C36" s="2" t="s">
        <v>834</v>
      </c>
      <c r="D36" s="2" t="s">
        <v>835</v>
      </c>
      <c r="E36" s="14">
        <f>VKZS!E54</f>
        <v>0</v>
      </c>
    </row>
    <row r="37" spans="1:5">
      <c r="A37" s="11">
        <v>36</v>
      </c>
      <c r="B37" s="2" t="s">
        <v>387</v>
      </c>
      <c r="C37" s="2" t="s">
        <v>836</v>
      </c>
      <c r="D37" s="2" t="s">
        <v>864</v>
      </c>
      <c r="E37" s="14">
        <f>VKZS!E55</f>
        <v>0</v>
      </c>
    </row>
    <row r="38" spans="1:5">
      <c r="A38" s="11">
        <v>37</v>
      </c>
      <c r="B38" s="2" t="s">
        <v>838</v>
      </c>
      <c r="C38" s="2" t="s">
        <v>839</v>
      </c>
      <c r="D38" s="2" t="s">
        <v>865</v>
      </c>
      <c r="E38" s="14">
        <f>VKZS!E56</f>
        <v>0</v>
      </c>
    </row>
    <row r="39" spans="1:5">
      <c r="A39" s="11">
        <v>38</v>
      </c>
      <c r="B39" s="2" t="s">
        <v>858</v>
      </c>
      <c r="C39" s="2" t="s">
        <v>842</v>
      </c>
      <c r="D39" s="2" t="s">
        <v>866</v>
      </c>
      <c r="E39" s="14">
        <f>VKZS!E59</f>
        <v>0</v>
      </c>
    </row>
    <row r="40" spans="1:5">
      <c r="A40" s="11">
        <v>39</v>
      </c>
      <c r="B40" s="2" t="s">
        <v>403</v>
      </c>
      <c r="C40" s="2" t="s">
        <v>867</v>
      </c>
      <c r="D40" s="2">
        <v>596</v>
      </c>
      <c r="E40" s="14">
        <f>VKZS!E60</f>
        <v>0</v>
      </c>
    </row>
    <row r="41" spans="1:5">
      <c r="A41" s="11">
        <v>40</v>
      </c>
      <c r="B41" s="2" t="s">
        <v>868</v>
      </c>
      <c r="C41" s="2" t="s">
        <v>847</v>
      </c>
      <c r="D41" s="2" t="s">
        <v>869</v>
      </c>
      <c r="E41" s="14">
        <f>VKZS!E61</f>
        <v>-24104.119999999992</v>
      </c>
    </row>
    <row r="42" spans="1:5">
      <c r="A42" s="11">
        <v>41</v>
      </c>
      <c r="B42" s="9" t="s">
        <v>872</v>
      </c>
      <c r="C42" s="11" t="s">
        <v>871</v>
      </c>
      <c r="E42" s="14">
        <f>VKZS!E62</f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49"/>
  <sheetViews>
    <sheetView tabSelected="1" topLeftCell="A19" workbookViewId="0">
      <selection activeCell="Z2" sqref="Z2:AI11"/>
    </sheetView>
  </sheetViews>
  <sheetFormatPr defaultRowHeight="15"/>
  <cols>
    <col min="1" max="36" width="2.7109375" customWidth="1"/>
  </cols>
  <sheetData>
    <row r="1" spans="1:36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</row>
    <row r="2" spans="1:36">
      <c r="A2" s="34" t="s">
        <v>887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88" t="s">
        <v>888</v>
      </c>
      <c r="N2" s="88"/>
      <c r="O2" s="88"/>
      <c r="P2" s="88"/>
      <c r="Q2" s="88"/>
      <c r="R2" s="88"/>
      <c r="S2" s="88"/>
      <c r="T2" s="88"/>
      <c r="U2" s="88"/>
      <c r="V2" s="88"/>
      <c r="W2" s="88"/>
      <c r="X2" s="33"/>
      <c r="Y2" s="33"/>
      <c r="Z2" s="87" t="s">
        <v>889</v>
      </c>
      <c r="AA2" s="87"/>
      <c r="AB2" s="87"/>
      <c r="AC2" s="87"/>
      <c r="AD2" s="87"/>
      <c r="AE2" s="87"/>
      <c r="AF2" s="87"/>
      <c r="AG2" s="87"/>
      <c r="AH2" s="87"/>
      <c r="AI2" s="87"/>
      <c r="AJ2" s="33"/>
    </row>
    <row r="3" spans="1:36">
      <c r="A3" s="34" t="s">
        <v>890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88" t="s">
        <v>891</v>
      </c>
      <c r="N3" s="88"/>
      <c r="O3" s="88"/>
      <c r="P3" s="88"/>
      <c r="Q3" s="88"/>
      <c r="R3" s="88"/>
      <c r="S3" s="88"/>
      <c r="T3" s="88"/>
      <c r="U3" s="88"/>
      <c r="V3" s="88"/>
      <c r="W3" s="88"/>
      <c r="X3" s="33"/>
      <c r="Y3" s="33"/>
      <c r="Z3" s="75" t="s">
        <v>892</v>
      </c>
      <c r="AA3" s="75"/>
      <c r="AB3" s="75"/>
      <c r="AC3" s="75"/>
      <c r="AD3" s="75"/>
      <c r="AE3" s="75"/>
      <c r="AF3" s="75"/>
      <c r="AG3" s="75"/>
      <c r="AH3" s="75"/>
      <c r="AI3" s="75"/>
      <c r="AJ3" s="33"/>
    </row>
    <row r="4" spans="1:36">
      <c r="A4" s="34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82" t="s">
        <v>893</v>
      </c>
      <c r="O4" s="82"/>
      <c r="P4" s="82"/>
      <c r="Q4" s="82"/>
      <c r="R4" s="82"/>
      <c r="S4" s="82"/>
      <c r="T4" s="82"/>
      <c r="U4" s="82"/>
      <c r="V4" s="82"/>
      <c r="W4" s="33"/>
      <c r="X4" s="33"/>
      <c r="Y4" s="33"/>
      <c r="Z4" s="76" t="s">
        <v>914</v>
      </c>
      <c r="AA4" s="77"/>
      <c r="AB4" s="77"/>
      <c r="AC4" s="77"/>
      <c r="AD4" s="77"/>
      <c r="AE4" s="77"/>
      <c r="AF4" s="77"/>
      <c r="AG4" s="77"/>
      <c r="AH4" s="77"/>
      <c r="AI4" s="77"/>
      <c r="AJ4" s="33"/>
    </row>
    <row r="5" spans="1:36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 t="s">
        <v>894</v>
      </c>
      <c r="N5" s="35"/>
      <c r="O5" s="35"/>
      <c r="P5" s="81" t="s">
        <v>918</v>
      </c>
      <c r="Q5" s="81"/>
      <c r="R5" s="81"/>
      <c r="S5" s="81"/>
      <c r="T5" s="81"/>
      <c r="U5" s="81"/>
      <c r="V5" s="81"/>
      <c r="W5" s="81"/>
      <c r="X5" s="33"/>
      <c r="Y5" s="33"/>
      <c r="Z5" s="78" t="s">
        <v>915</v>
      </c>
      <c r="AA5" s="79"/>
      <c r="AB5" s="79"/>
      <c r="AC5" s="79"/>
      <c r="AD5" s="79"/>
      <c r="AE5" s="79"/>
      <c r="AF5" s="79"/>
      <c r="AG5" s="79"/>
      <c r="AH5" s="79"/>
      <c r="AI5" s="79"/>
      <c r="AJ5" s="33"/>
    </row>
    <row r="6" spans="1:36" ht="15.75" thickBo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82"/>
      <c r="O6" s="82"/>
      <c r="P6" s="82"/>
      <c r="Q6" s="82"/>
      <c r="R6" s="82"/>
      <c r="S6" s="82"/>
      <c r="T6" s="82"/>
      <c r="U6" s="82"/>
      <c r="V6" s="82"/>
      <c r="W6" s="33"/>
      <c r="X6" s="33"/>
      <c r="Y6" s="3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33"/>
    </row>
    <row r="7" spans="1:36" ht="15.75" thickBo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84" t="s">
        <v>895</v>
      </c>
      <c r="N7" s="85"/>
      <c r="O7" s="85"/>
      <c r="P7" s="85"/>
      <c r="Q7" s="85"/>
      <c r="R7" s="85"/>
      <c r="S7" s="85"/>
      <c r="T7" s="85"/>
      <c r="U7" s="85"/>
      <c r="V7" s="85"/>
      <c r="W7" s="86"/>
      <c r="X7" s="33"/>
      <c r="Y7" s="33"/>
      <c r="Z7" s="87" t="s">
        <v>896</v>
      </c>
      <c r="AA7" s="87"/>
      <c r="AB7" s="87"/>
      <c r="AC7" s="87"/>
      <c r="AD7" s="87"/>
      <c r="AE7" s="87"/>
      <c r="AF7" s="87"/>
      <c r="AG7" s="87"/>
      <c r="AH7" s="87"/>
      <c r="AI7" s="87"/>
      <c r="AJ7" s="33"/>
    </row>
    <row r="8" spans="1:36" ht="15.75" thickBo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72">
        <v>29191360</v>
      </c>
      <c r="N8" s="73"/>
      <c r="O8" s="73"/>
      <c r="P8" s="73"/>
      <c r="Q8" s="73"/>
      <c r="R8" s="73"/>
      <c r="S8" s="73"/>
      <c r="T8" s="73"/>
      <c r="U8" s="73"/>
      <c r="V8" s="73"/>
      <c r="W8" s="74"/>
      <c r="X8" s="33"/>
      <c r="Y8" s="33"/>
      <c r="Z8" s="75" t="s">
        <v>897</v>
      </c>
      <c r="AA8" s="75"/>
      <c r="AB8" s="75"/>
      <c r="AC8" s="75"/>
      <c r="AD8" s="75"/>
      <c r="AE8" s="75"/>
      <c r="AF8" s="75"/>
      <c r="AG8" s="75"/>
      <c r="AH8" s="75"/>
      <c r="AI8" s="75"/>
      <c r="AJ8" s="33"/>
    </row>
    <row r="9" spans="1:36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76" t="s">
        <v>916</v>
      </c>
      <c r="AA9" s="77"/>
      <c r="AB9" s="77"/>
      <c r="AC9" s="77"/>
      <c r="AD9" s="77"/>
      <c r="AE9" s="77"/>
      <c r="AF9" s="77"/>
      <c r="AG9" s="77"/>
      <c r="AH9" s="77"/>
      <c r="AI9" s="77"/>
      <c r="AJ9" s="33"/>
    </row>
    <row r="10" spans="1:36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78" t="s">
        <v>917</v>
      </c>
      <c r="AA10" s="79"/>
      <c r="AB10" s="79"/>
      <c r="AC10" s="79"/>
      <c r="AD10" s="79"/>
      <c r="AE10" s="79"/>
      <c r="AF10" s="79"/>
      <c r="AG10" s="79"/>
      <c r="AH10" s="79"/>
      <c r="AI10" s="79"/>
      <c r="AJ10" s="33"/>
    </row>
    <row r="11" spans="1:36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33"/>
    </row>
    <row r="12" spans="1:36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</row>
    <row r="13" spans="1:36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</row>
    <row r="14" spans="1:36" ht="15" customHeight="1">
      <c r="A14" s="69" t="s">
        <v>898</v>
      </c>
      <c r="B14" s="69"/>
      <c r="C14" s="69"/>
      <c r="D14" s="69" t="s">
        <v>899</v>
      </c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 t="s">
        <v>900</v>
      </c>
      <c r="S14" s="69"/>
      <c r="T14" s="71" t="s">
        <v>901</v>
      </c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 t="s">
        <v>902</v>
      </c>
      <c r="AG14" s="71"/>
      <c r="AH14" s="71"/>
      <c r="AI14" s="71"/>
      <c r="AJ14" s="36"/>
    </row>
    <row r="15" spans="1:36" ht="24" customHeight="1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 t="s">
        <v>903</v>
      </c>
      <c r="U15" s="70"/>
      <c r="V15" s="70"/>
      <c r="W15" s="70"/>
      <c r="X15" s="70" t="s">
        <v>904</v>
      </c>
      <c r="Y15" s="70"/>
      <c r="Z15" s="70"/>
      <c r="AA15" s="70"/>
      <c r="AB15" s="70" t="s">
        <v>905</v>
      </c>
      <c r="AC15" s="70"/>
      <c r="AD15" s="70"/>
      <c r="AE15" s="70"/>
      <c r="AF15" s="70" t="s">
        <v>906</v>
      </c>
      <c r="AG15" s="70"/>
      <c r="AH15" s="70"/>
      <c r="AI15" s="70"/>
      <c r="AJ15" s="36"/>
    </row>
    <row r="16" spans="1:36" ht="15" customHeight="1">
      <c r="A16" s="65">
        <f>'Rozvaha-zj'!B2</f>
        <v>0</v>
      </c>
      <c r="B16" s="65"/>
      <c r="C16" s="65"/>
      <c r="D16" s="66" t="str">
        <f>'Rozvaha-zj'!C2</f>
        <v>AKTIVA CELKEM: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7">
        <f>'Rozvaha-zj'!A2</f>
        <v>1</v>
      </c>
      <c r="S16" s="68"/>
      <c r="T16" s="64">
        <f>'Rozvaha-zj'!F2/1000</f>
        <v>477.34188</v>
      </c>
      <c r="U16" s="64"/>
      <c r="V16" s="64"/>
      <c r="W16" s="64"/>
      <c r="X16" s="64">
        <f>'Rozvaha-zj'!J2/1000</f>
        <v>0</v>
      </c>
      <c r="Y16" s="64"/>
      <c r="Z16" s="64"/>
      <c r="AA16" s="64"/>
      <c r="AB16" s="64">
        <f>'Rozvaha-zj'!N2/1000</f>
        <v>0</v>
      </c>
      <c r="AC16" s="64"/>
      <c r="AD16" s="64"/>
      <c r="AE16" s="64"/>
      <c r="AF16" s="64">
        <f>'Rozvaha-zj'!R2/1000</f>
        <v>0</v>
      </c>
      <c r="AG16" s="64"/>
      <c r="AH16" s="64"/>
      <c r="AI16" s="64"/>
      <c r="AJ16" s="36"/>
    </row>
    <row r="17" spans="1:38">
      <c r="A17" s="65" t="str">
        <f>'Rozvaha-zj'!B3</f>
        <v>A.</v>
      </c>
      <c r="B17" s="65"/>
      <c r="C17" s="65"/>
      <c r="D17" s="66" t="str">
        <f>'Rozvaha-zj'!C3</f>
        <v>Pohledávky za upsaný základní kapitál</v>
      </c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7">
        <f>'Rozvaha-zj'!A3</f>
        <v>2</v>
      </c>
      <c r="S17" s="68"/>
      <c r="T17" s="64">
        <f>'Rozvaha-zj'!F3/1000</f>
        <v>0</v>
      </c>
      <c r="U17" s="64"/>
      <c r="V17" s="64"/>
      <c r="W17" s="64"/>
      <c r="X17" s="64">
        <f>'Rozvaha-zj'!J3/1000</f>
        <v>0</v>
      </c>
      <c r="Y17" s="64"/>
      <c r="Z17" s="64"/>
      <c r="AA17" s="64"/>
      <c r="AB17" s="64">
        <f>'Rozvaha-zj'!N3/1000</f>
        <v>0</v>
      </c>
      <c r="AC17" s="64"/>
      <c r="AD17" s="64"/>
      <c r="AE17" s="64"/>
      <c r="AF17" s="64">
        <f>'Rozvaha-zj'!R3/1000</f>
        <v>0</v>
      </c>
      <c r="AG17" s="64"/>
      <c r="AH17" s="64"/>
      <c r="AI17" s="64"/>
      <c r="AJ17" s="36"/>
      <c r="AL17" s="11"/>
    </row>
    <row r="18" spans="1:38">
      <c r="A18" s="65" t="str">
        <f>'Rozvaha-zj'!B4</f>
        <v>B.</v>
      </c>
      <c r="B18" s="65"/>
      <c r="C18" s="65"/>
      <c r="D18" s="66" t="str">
        <f>'Rozvaha-zj'!C4</f>
        <v>Dlouhodobý majetek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7">
        <f>'Rozvaha-zj'!A4</f>
        <v>3</v>
      </c>
      <c r="S18" s="68"/>
      <c r="T18" s="64">
        <f>'Rozvaha-zj'!F4/1000</f>
        <v>335.95699999999999</v>
      </c>
      <c r="U18" s="64"/>
      <c r="V18" s="64"/>
      <c r="W18" s="64"/>
      <c r="X18" s="64">
        <f>'Rozvaha-zj'!J4/1000</f>
        <v>0</v>
      </c>
      <c r="Y18" s="64"/>
      <c r="Z18" s="64"/>
      <c r="AA18" s="64"/>
      <c r="AB18" s="64">
        <f>'Rozvaha-zj'!N4/1000</f>
        <v>0</v>
      </c>
      <c r="AC18" s="64"/>
      <c r="AD18" s="64"/>
      <c r="AE18" s="64"/>
      <c r="AF18" s="64">
        <f>'Rozvaha-zj'!R4/1000</f>
        <v>0</v>
      </c>
      <c r="AG18" s="64"/>
      <c r="AH18" s="64"/>
      <c r="AI18" s="64"/>
      <c r="AJ18" s="36"/>
      <c r="AL18" s="11"/>
    </row>
    <row r="19" spans="1:38">
      <c r="A19" s="65" t="str">
        <f>'Rozvaha-zj'!B5</f>
        <v>B.I.</v>
      </c>
      <c r="B19" s="65"/>
      <c r="C19" s="65"/>
      <c r="D19" s="66" t="str">
        <f>'Rozvaha-zj'!C5</f>
        <v>Dlouhodobý nehmotný majetek</v>
      </c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7">
        <f>'Rozvaha-zj'!A5</f>
        <v>4</v>
      </c>
      <c r="S19" s="68"/>
      <c r="T19" s="64">
        <f>'Rozvaha-zj'!F5/1000</f>
        <v>0</v>
      </c>
      <c r="U19" s="64"/>
      <c r="V19" s="64"/>
      <c r="W19" s="64"/>
      <c r="X19" s="64">
        <f>'Rozvaha-zj'!J5/1000</f>
        <v>0</v>
      </c>
      <c r="Y19" s="64"/>
      <c r="Z19" s="64"/>
      <c r="AA19" s="64"/>
      <c r="AB19" s="64">
        <f>'Rozvaha-zj'!N5/1000</f>
        <v>0</v>
      </c>
      <c r="AC19" s="64"/>
      <c r="AD19" s="64"/>
      <c r="AE19" s="64"/>
      <c r="AF19" s="64">
        <f>'Rozvaha-zj'!R5/1000</f>
        <v>0</v>
      </c>
      <c r="AG19" s="64"/>
      <c r="AH19" s="64"/>
      <c r="AI19" s="64"/>
      <c r="AJ19" s="36"/>
      <c r="AL19" s="11"/>
    </row>
    <row r="20" spans="1:38">
      <c r="A20" s="65" t="str">
        <f>'Rozvaha-zj'!B6</f>
        <v>B.II.</v>
      </c>
      <c r="B20" s="65"/>
      <c r="C20" s="65"/>
      <c r="D20" s="66" t="str">
        <f>'Rozvaha-zj'!C6</f>
        <v>Dlouhodobý hmotný majetek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7">
        <f>'Rozvaha-zj'!A6</f>
        <v>5</v>
      </c>
      <c r="S20" s="68"/>
      <c r="T20" s="64">
        <f>'Rozvaha-zj'!F6/1000</f>
        <v>335.95699999999999</v>
      </c>
      <c r="U20" s="64"/>
      <c r="V20" s="64"/>
      <c r="W20" s="64"/>
      <c r="X20" s="64">
        <f>'Rozvaha-zj'!J6/1000</f>
        <v>0</v>
      </c>
      <c r="Y20" s="64"/>
      <c r="Z20" s="64"/>
      <c r="AA20" s="64"/>
      <c r="AB20" s="64">
        <f>'Rozvaha-zj'!N6/1000</f>
        <v>0</v>
      </c>
      <c r="AC20" s="64"/>
      <c r="AD20" s="64"/>
      <c r="AE20" s="64"/>
      <c r="AF20" s="64">
        <f>'Rozvaha-zj'!R6/1000</f>
        <v>0</v>
      </c>
      <c r="AG20" s="64"/>
      <c r="AH20" s="64"/>
      <c r="AI20" s="64"/>
      <c r="AJ20" s="36"/>
      <c r="AL20" s="11"/>
    </row>
    <row r="21" spans="1:38">
      <c r="A21" s="65" t="str">
        <f>'Rozvaha-zj'!B7</f>
        <v>B.III.</v>
      </c>
      <c r="B21" s="65"/>
      <c r="C21" s="65"/>
      <c r="D21" s="66" t="str">
        <f>'Rozvaha-zj'!C7</f>
        <v>Dlouhodobý finanční majetek</v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7">
        <f>'Rozvaha-zj'!A7</f>
        <v>6</v>
      </c>
      <c r="S21" s="68"/>
      <c r="T21" s="64">
        <f>'Rozvaha-zj'!F7/1000</f>
        <v>0</v>
      </c>
      <c r="U21" s="64"/>
      <c r="V21" s="64"/>
      <c r="W21" s="64"/>
      <c r="X21" s="64">
        <f>'Rozvaha-zj'!J7/1000</f>
        <v>0</v>
      </c>
      <c r="Y21" s="64"/>
      <c r="Z21" s="64"/>
      <c r="AA21" s="64"/>
      <c r="AB21" s="64">
        <f>'Rozvaha-zj'!N7/1000</f>
        <v>0</v>
      </c>
      <c r="AC21" s="64"/>
      <c r="AD21" s="64"/>
      <c r="AE21" s="64"/>
      <c r="AF21" s="64">
        <f>'Rozvaha-zj'!R7/1000</f>
        <v>0</v>
      </c>
      <c r="AG21" s="64"/>
      <c r="AH21" s="64"/>
      <c r="AI21" s="64"/>
      <c r="AJ21" s="36"/>
      <c r="AL21" s="11"/>
    </row>
    <row r="22" spans="1:38">
      <c r="A22" s="65" t="str">
        <f>'Rozvaha-zj'!B8</f>
        <v>C.</v>
      </c>
      <c r="B22" s="65"/>
      <c r="C22" s="65"/>
      <c r="D22" s="66" t="str">
        <f>'Rozvaha-zj'!C8</f>
        <v>Oběžná aktiva</v>
      </c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7">
        <f>'Rozvaha-zj'!A8</f>
        <v>7</v>
      </c>
      <c r="S22" s="68"/>
      <c r="T22" s="64">
        <f>'Rozvaha-zj'!F8/1000</f>
        <v>141.38488000000001</v>
      </c>
      <c r="U22" s="64"/>
      <c r="V22" s="64"/>
      <c r="W22" s="64"/>
      <c r="X22" s="64">
        <f>'Rozvaha-zj'!J8/1000</f>
        <v>0</v>
      </c>
      <c r="Y22" s="64"/>
      <c r="Z22" s="64"/>
      <c r="AA22" s="64"/>
      <c r="AB22" s="64">
        <f>'Rozvaha-zj'!N8/1000</f>
        <v>0</v>
      </c>
      <c r="AC22" s="64"/>
      <c r="AD22" s="64"/>
      <c r="AE22" s="64"/>
      <c r="AF22" s="64">
        <f>'Rozvaha-zj'!R8/1000</f>
        <v>0</v>
      </c>
      <c r="AG22" s="64"/>
      <c r="AH22" s="64"/>
      <c r="AI22" s="64"/>
      <c r="AJ22" s="36"/>
      <c r="AL22" s="11"/>
    </row>
    <row r="23" spans="1:38">
      <c r="A23" s="65" t="str">
        <f>'Rozvaha-zj'!B9</f>
        <v>C.I.</v>
      </c>
      <c r="B23" s="65"/>
      <c r="C23" s="65"/>
      <c r="D23" s="66" t="str">
        <f>'Rozvaha-zj'!C9</f>
        <v>Zásoby</v>
      </c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7">
        <f>'Rozvaha-zj'!A9</f>
        <v>8</v>
      </c>
      <c r="S23" s="68"/>
      <c r="T23" s="64">
        <f>'Rozvaha-zj'!F9/1000</f>
        <v>0</v>
      </c>
      <c r="U23" s="64"/>
      <c r="V23" s="64"/>
      <c r="W23" s="64"/>
      <c r="X23" s="64">
        <f>'Rozvaha-zj'!J9/1000</f>
        <v>0</v>
      </c>
      <c r="Y23" s="64"/>
      <c r="Z23" s="64"/>
      <c r="AA23" s="64"/>
      <c r="AB23" s="64">
        <f>'Rozvaha-zj'!N9/1000</f>
        <v>0</v>
      </c>
      <c r="AC23" s="64"/>
      <c r="AD23" s="64"/>
      <c r="AE23" s="64"/>
      <c r="AF23" s="64">
        <f>'Rozvaha-zj'!R9/1000</f>
        <v>0</v>
      </c>
      <c r="AG23" s="64"/>
      <c r="AH23" s="64"/>
      <c r="AI23" s="64"/>
      <c r="AJ23" s="29"/>
      <c r="AL23" s="11"/>
    </row>
    <row r="24" spans="1:38">
      <c r="A24" s="65" t="str">
        <f>'Rozvaha-zj'!B10</f>
        <v>C.II.</v>
      </c>
      <c r="B24" s="65"/>
      <c r="C24" s="65"/>
      <c r="D24" s="66" t="str">
        <f>'Rozvaha-zj'!C10</f>
        <v>Dlouhodobé pohledávky</v>
      </c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7">
        <f>'Rozvaha-zj'!A10</f>
        <v>9</v>
      </c>
      <c r="S24" s="68"/>
      <c r="T24" s="64">
        <f>'Rozvaha-zj'!F10/1000</f>
        <v>0</v>
      </c>
      <c r="U24" s="64"/>
      <c r="V24" s="64"/>
      <c r="W24" s="64"/>
      <c r="X24" s="64">
        <f>'Rozvaha-zj'!J10/1000</f>
        <v>0</v>
      </c>
      <c r="Y24" s="64"/>
      <c r="Z24" s="64"/>
      <c r="AA24" s="64"/>
      <c r="AB24" s="64">
        <f>'Rozvaha-zj'!N10/1000</f>
        <v>0</v>
      </c>
      <c r="AC24" s="64"/>
      <c r="AD24" s="64"/>
      <c r="AE24" s="64"/>
      <c r="AF24" s="64">
        <f>'Rozvaha-zj'!R10/1000</f>
        <v>0</v>
      </c>
      <c r="AG24" s="64"/>
      <c r="AH24" s="64"/>
      <c r="AI24" s="64"/>
      <c r="AJ24" s="29"/>
      <c r="AL24" s="11"/>
    </row>
    <row r="25" spans="1:38">
      <c r="A25" s="65" t="str">
        <f>'Rozvaha-zj'!B11</f>
        <v>C.III.</v>
      </c>
      <c r="B25" s="65"/>
      <c r="C25" s="65"/>
      <c r="D25" s="66" t="str">
        <f>'Rozvaha-zj'!C11</f>
        <v>Krátkodobé pohledávky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7">
        <f>'Rozvaha-zj'!A11</f>
        <v>10</v>
      </c>
      <c r="S25" s="68"/>
      <c r="T25" s="64">
        <f>'Rozvaha-zj'!F11/1000</f>
        <v>0.75375999999999999</v>
      </c>
      <c r="U25" s="64"/>
      <c r="V25" s="64"/>
      <c r="W25" s="64"/>
      <c r="X25" s="64">
        <f>'Rozvaha-zj'!J11/1000</f>
        <v>0</v>
      </c>
      <c r="Y25" s="64"/>
      <c r="Z25" s="64"/>
      <c r="AA25" s="64"/>
      <c r="AB25" s="64">
        <f>'Rozvaha-zj'!N11/1000</f>
        <v>0</v>
      </c>
      <c r="AC25" s="64"/>
      <c r="AD25" s="64"/>
      <c r="AE25" s="64"/>
      <c r="AF25" s="64">
        <f>'Rozvaha-zj'!R11/1000</f>
        <v>0</v>
      </c>
      <c r="AG25" s="64"/>
      <c r="AH25" s="64"/>
      <c r="AI25" s="64"/>
      <c r="AJ25" s="29"/>
      <c r="AL25" s="11"/>
    </row>
    <row r="26" spans="1:38">
      <c r="A26" s="65" t="str">
        <f>'Rozvaha-zj'!B12</f>
        <v>C.IV.</v>
      </c>
      <c r="B26" s="65"/>
      <c r="C26" s="65"/>
      <c r="D26" s="66" t="str">
        <f>'Rozvaha-zj'!C12</f>
        <v>Krátkodobý finanční majetek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7">
        <f>'Rozvaha-zj'!A12</f>
        <v>11</v>
      </c>
      <c r="S26" s="68"/>
      <c r="T26" s="64">
        <f>'Rozvaha-zj'!F12/1000</f>
        <v>140.63111999999998</v>
      </c>
      <c r="U26" s="64"/>
      <c r="V26" s="64"/>
      <c r="W26" s="64"/>
      <c r="X26" s="64">
        <f>'Rozvaha-zj'!J12/1000</f>
        <v>0</v>
      </c>
      <c r="Y26" s="64"/>
      <c r="Z26" s="64"/>
      <c r="AA26" s="64"/>
      <c r="AB26" s="64">
        <f>'Rozvaha-zj'!N12/1000</f>
        <v>0</v>
      </c>
      <c r="AC26" s="64"/>
      <c r="AD26" s="64"/>
      <c r="AE26" s="64"/>
      <c r="AF26" s="64">
        <f>'Rozvaha-zj'!R12/1000</f>
        <v>0</v>
      </c>
      <c r="AG26" s="64"/>
      <c r="AH26" s="64"/>
      <c r="AI26" s="64"/>
      <c r="AJ26" s="29"/>
      <c r="AL26" s="11"/>
    </row>
    <row r="27" spans="1:38">
      <c r="A27" s="65" t="str">
        <f>'Rozvaha-zj'!B13</f>
        <v>D.I.</v>
      </c>
      <c r="B27" s="65"/>
      <c r="C27" s="65"/>
      <c r="D27" s="66" t="str">
        <f>'Rozvaha-zj'!C13</f>
        <v>Časové rozlišení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7">
        <f>'Rozvaha-zj'!A13</f>
        <v>12</v>
      </c>
      <c r="S27" s="68"/>
      <c r="T27" s="64">
        <f>'Rozvaha-zj'!F13/1000</f>
        <v>0</v>
      </c>
      <c r="U27" s="64"/>
      <c r="V27" s="64"/>
      <c r="W27" s="64"/>
      <c r="X27" s="64">
        <f>'Rozvaha-zj'!J13/1000</f>
        <v>0</v>
      </c>
      <c r="Y27" s="64"/>
      <c r="Z27" s="64"/>
      <c r="AA27" s="64"/>
      <c r="AB27" s="64">
        <f>'Rozvaha-zj'!N13/1000</f>
        <v>0</v>
      </c>
      <c r="AC27" s="64"/>
      <c r="AD27" s="64"/>
      <c r="AE27" s="64"/>
      <c r="AF27" s="64">
        <f>'Rozvaha-zj'!R13/1000</f>
        <v>0</v>
      </c>
      <c r="AG27" s="64"/>
      <c r="AH27" s="64"/>
      <c r="AI27" s="64"/>
      <c r="AJ27" s="29"/>
      <c r="AL27" s="11"/>
    </row>
    <row r="28" spans="1:3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29"/>
      <c r="AL28" s="11"/>
    </row>
    <row r="29" spans="1:38" ht="15" customHeight="1">
      <c r="A29" s="59" t="s">
        <v>898</v>
      </c>
      <c r="B29" s="59"/>
      <c r="C29" s="59"/>
      <c r="D29" s="59" t="s">
        <v>907</v>
      </c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 t="s">
        <v>900</v>
      </c>
      <c r="S29" s="59"/>
      <c r="T29" s="61" t="s">
        <v>908</v>
      </c>
      <c r="U29" s="62"/>
      <c r="V29" s="62"/>
      <c r="W29" s="62"/>
      <c r="X29" s="62"/>
      <c r="Y29" s="62"/>
      <c r="Z29" s="62"/>
      <c r="AA29" s="62"/>
      <c r="AB29" s="61" t="s">
        <v>909</v>
      </c>
      <c r="AC29" s="62"/>
      <c r="AD29" s="62"/>
      <c r="AE29" s="62"/>
      <c r="AF29" s="62"/>
      <c r="AG29" s="62"/>
      <c r="AH29" s="62"/>
      <c r="AI29" s="62"/>
      <c r="AJ29" s="29"/>
    </row>
    <row r="30" spans="1:38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11"/>
    </row>
    <row r="31" spans="1:38">
      <c r="A31" s="52">
        <f>'Rozvaha-zj'!B16</f>
        <v>0</v>
      </c>
      <c r="B31" s="53"/>
      <c r="C31" s="54"/>
      <c r="D31" s="55" t="str">
        <f>'Rozvaha-zj'!C16</f>
        <v>PASIVA CELKEM:</v>
      </c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6">
        <f>'Rozvaha-zj'!A16</f>
        <v>13</v>
      </c>
      <c r="S31" s="57"/>
      <c r="T31" s="58">
        <f>'Rozvaha-zj'!H16/1000</f>
        <v>477.34188</v>
      </c>
      <c r="U31" s="58"/>
      <c r="V31" s="58"/>
      <c r="W31" s="58"/>
      <c r="X31" s="58"/>
      <c r="Y31" s="58"/>
      <c r="Z31" s="58"/>
      <c r="AA31" s="58"/>
      <c r="AB31" s="58">
        <f>'Rozvaha-zj'!P16/1000</f>
        <v>0</v>
      </c>
      <c r="AC31" s="58"/>
      <c r="AD31" s="58"/>
      <c r="AE31" s="58"/>
      <c r="AF31" s="58"/>
      <c r="AG31" s="58"/>
      <c r="AH31" s="58"/>
      <c r="AI31" s="58"/>
      <c r="AJ31" s="11"/>
    </row>
    <row r="32" spans="1:38">
      <c r="A32" s="52" t="str">
        <f>'Rozvaha-zj'!B17</f>
        <v>A.</v>
      </c>
      <c r="B32" s="53"/>
      <c r="C32" s="54"/>
      <c r="D32" s="55" t="str">
        <f>'Rozvaha-zj'!C17</f>
        <v>Vlastní kapitál</v>
      </c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6">
        <f>'Rozvaha-zj'!A17</f>
        <v>14</v>
      </c>
      <c r="S32" s="57"/>
      <c r="T32" s="58">
        <f>'Rozvaha-zj'!H17/1000</f>
        <v>475.89587999999998</v>
      </c>
      <c r="U32" s="58"/>
      <c r="V32" s="58"/>
      <c r="W32" s="58"/>
      <c r="X32" s="58"/>
      <c r="Y32" s="58"/>
      <c r="Z32" s="58"/>
      <c r="AA32" s="58"/>
      <c r="AB32" s="58">
        <f>'Rozvaha-zj'!P17/1000</f>
        <v>0</v>
      </c>
      <c r="AC32" s="58"/>
      <c r="AD32" s="58"/>
      <c r="AE32" s="58"/>
      <c r="AF32" s="58"/>
      <c r="AG32" s="58"/>
      <c r="AH32" s="58"/>
      <c r="AI32" s="58"/>
      <c r="AJ32" s="11"/>
    </row>
    <row r="33" spans="1:36">
      <c r="A33" s="52" t="str">
        <f>'Rozvaha-zj'!B18</f>
        <v>A.I.</v>
      </c>
      <c r="B33" s="53"/>
      <c r="C33" s="54"/>
      <c r="D33" s="55" t="str">
        <f>'Rozvaha-zj'!C18</f>
        <v>Základní kapitál</v>
      </c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6">
        <f>'Rozvaha-zj'!A18</f>
        <v>15</v>
      </c>
      <c r="S33" s="57"/>
      <c r="T33" s="58">
        <f>'Rozvaha-zj'!H18/1000</f>
        <v>500</v>
      </c>
      <c r="U33" s="58"/>
      <c r="V33" s="58"/>
      <c r="W33" s="58"/>
      <c r="X33" s="58"/>
      <c r="Y33" s="58"/>
      <c r="Z33" s="58"/>
      <c r="AA33" s="58"/>
      <c r="AB33" s="58">
        <f>'Rozvaha-zj'!P18/1000</f>
        <v>0</v>
      </c>
      <c r="AC33" s="58"/>
      <c r="AD33" s="58"/>
      <c r="AE33" s="58"/>
      <c r="AF33" s="58"/>
      <c r="AG33" s="58"/>
      <c r="AH33" s="58"/>
      <c r="AI33" s="58"/>
      <c r="AJ33" s="11"/>
    </row>
    <row r="34" spans="1:36">
      <c r="A34" s="52" t="str">
        <f>'Rozvaha-zj'!B19</f>
        <v>A.II.</v>
      </c>
      <c r="B34" s="53"/>
      <c r="C34" s="54"/>
      <c r="D34" s="55" t="str">
        <f>'Rozvaha-zj'!C19</f>
        <v>Kapitálové fondy</v>
      </c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6">
        <f>'Rozvaha-zj'!A19</f>
        <v>16</v>
      </c>
      <c r="S34" s="57"/>
      <c r="T34" s="58">
        <f>'Rozvaha-zj'!H19/1000</f>
        <v>0</v>
      </c>
      <c r="U34" s="58"/>
      <c r="V34" s="58"/>
      <c r="W34" s="58"/>
      <c r="X34" s="58"/>
      <c r="Y34" s="58"/>
      <c r="Z34" s="58"/>
      <c r="AA34" s="58"/>
      <c r="AB34" s="58">
        <f>'Rozvaha-zj'!P19/1000</f>
        <v>0</v>
      </c>
      <c r="AC34" s="58"/>
      <c r="AD34" s="58"/>
      <c r="AE34" s="58"/>
      <c r="AF34" s="58"/>
      <c r="AG34" s="58"/>
      <c r="AH34" s="58"/>
      <c r="AI34" s="58"/>
      <c r="AJ34" s="11"/>
    </row>
    <row r="35" spans="1:36">
      <c r="A35" s="52" t="str">
        <f>'Rozvaha-zj'!B20</f>
        <v>A.III.</v>
      </c>
      <c r="B35" s="53"/>
      <c r="C35" s="54"/>
      <c r="D35" s="55" t="str">
        <f>'Rozvaha-zj'!C20</f>
        <v>Rezervní fondy, nedělitelný fond a ostatní fondy ze zisku</v>
      </c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6">
        <f>'Rozvaha-zj'!A20</f>
        <v>17</v>
      </c>
      <c r="S35" s="57"/>
      <c r="T35" s="58">
        <f>'Rozvaha-zj'!H20/1000</f>
        <v>0</v>
      </c>
      <c r="U35" s="58"/>
      <c r="V35" s="58"/>
      <c r="W35" s="58"/>
      <c r="X35" s="58"/>
      <c r="Y35" s="58"/>
      <c r="Z35" s="58"/>
      <c r="AA35" s="58"/>
      <c r="AB35" s="58">
        <f>'Rozvaha-zj'!P20/1000</f>
        <v>0</v>
      </c>
      <c r="AC35" s="58"/>
      <c r="AD35" s="58"/>
      <c r="AE35" s="58"/>
      <c r="AF35" s="58"/>
      <c r="AG35" s="58"/>
      <c r="AH35" s="58"/>
      <c r="AI35" s="58"/>
      <c r="AJ35" s="11"/>
    </row>
    <row r="36" spans="1:36">
      <c r="A36" s="52" t="str">
        <f>'Rozvaha-zj'!B21</f>
        <v>A.IV.</v>
      </c>
      <c r="B36" s="53"/>
      <c r="C36" s="54"/>
      <c r="D36" s="55" t="str">
        <f>'Rozvaha-zj'!C21</f>
        <v>Výsledek hospodaření minulých let</v>
      </c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6">
        <f>'Rozvaha-zj'!A21</f>
        <v>18</v>
      </c>
      <c r="S36" s="57"/>
      <c r="T36" s="58">
        <f>'Rozvaha-zj'!H21/1000</f>
        <v>0</v>
      </c>
      <c r="U36" s="58"/>
      <c r="V36" s="58"/>
      <c r="W36" s="58"/>
      <c r="X36" s="58"/>
      <c r="Y36" s="58"/>
      <c r="Z36" s="58"/>
      <c r="AA36" s="58"/>
      <c r="AB36" s="58">
        <f>'Rozvaha-zj'!P21/1000</f>
        <v>0</v>
      </c>
      <c r="AC36" s="58"/>
      <c r="AD36" s="58"/>
      <c r="AE36" s="58"/>
      <c r="AF36" s="58"/>
      <c r="AG36" s="58"/>
      <c r="AH36" s="58"/>
      <c r="AI36" s="58"/>
      <c r="AJ36" s="11"/>
    </row>
    <row r="37" spans="1:36" ht="15" customHeight="1">
      <c r="A37" s="52" t="str">
        <f>'Rozvaha-zj'!B22</f>
        <v>A.V.</v>
      </c>
      <c r="B37" s="53"/>
      <c r="C37" s="54"/>
      <c r="D37" s="55" t="str">
        <f>'Rozvaha-zj'!C22</f>
        <v>Výsledek hospodaření běžného účetního období +/-</v>
      </c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6">
        <f>'Rozvaha-zj'!A22</f>
        <v>19</v>
      </c>
      <c r="S37" s="57"/>
      <c r="T37" s="58">
        <f>'Rozvaha-zj'!H22/1000</f>
        <v>-24.104119999999991</v>
      </c>
      <c r="U37" s="58"/>
      <c r="V37" s="58"/>
      <c r="W37" s="58"/>
      <c r="X37" s="58"/>
      <c r="Y37" s="58"/>
      <c r="Z37" s="58"/>
      <c r="AA37" s="58"/>
      <c r="AB37" s="58">
        <f>'Rozvaha-zj'!P22/1000</f>
        <v>0</v>
      </c>
      <c r="AC37" s="58"/>
      <c r="AD37" s="58"/>
      <c r="AE37" s="58"/>
      <c r="AF37" s="58"/>
      <c r="AG37" s="58"/>
      <c r="AH37" s="58"/>
      <c r="AI37" s="58"/>
      <c r="AJ37" s="11"/>
    </row>
    <row r="38" spans="1:36">
      <c r="A38" s="52" t="str">
        <f>'Rozvaha-zj'!B23</f>
        <v>B.</v>
      </c>
      <c r="B38" s="53"/>
      <c r="C38" s="54"/>
      <c r="D38" s="55" t="str">
        <f>'Rozvaha-zj'!C23</f>
        <v>Cizí zdroje</v>
      </c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6">
        <f>'Rozvaha-zj'!A23</f>
        <v>20</v>
      </c>
      <c r="S38" s="57"/>
      <c r="T38" s="58">
        <f>'Rozvaha-zj'!H23/1000</f>
        <v>1.446</v>
      </c>
      <c r="U38" s="58"/>
      <c r="V38" s="58"/>
      <c r="W38" s="58"/>
      <c r="X38" s="58"/>
      <c r="Y38" s="58"/>
      <c r="Z38" s="58"/>
      <c r="AA38" s="58"/>
      <c r="AB38" s="58">
        <f>'Rozvaha-zj'!P23/1000</f>
        <v>0</v>
      </c>
      <c r="AC38" s="58"/>
      <c r="AD38" s="58"/>
      <c r="AE38" s="58"/>
      <c r="AF38" s="58"/>
      <c r="AG38" s="58"/>
      <c r="AH38" s="58"/>
      <c r="AI38" s="58"/>
      <c r="AJ38" s="11"/>
    </row>
    <row r="39" spans="1:36">
      <c r="A39" s="52" t="str">
        <f>'Rozvaha-zj'!B24</f>
        <v>B.I.</v>
      </c>
      <c r="B39" s="53"/>
      <c r="C39" s="54"/>
      <c r="D39" s="55" t="str">
        <f>'Rozvaha-zj'!C24</f>
        <v>Rezervy</v>
      </c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6">
        <f>'Rozvaha-zj'!A24</f>
        <v>21</v>
      </c>
      <c r="S39" s="57"/>
      <c r="T39" s="58">
        <f>'Rozvaha-zj'!H24/1000</f>
        <v>0</v>
      </c>
      <c r="U39" s="58"/>
      <c r="V39" s="58"/>
      <c r="W39" s="58"/>
      <c r="X39" s="58"/>
      <c r="Y39" s="58"/>
      <c r="Z39" s="58"/>
      <c r="AA39" s="58"/>
      <c r="AB39" s="58">
        <f>'Rozvaha-zj'!P24/1000</f>
        <v>0</v>
      </c>
      <c r="AC39" s="58"/>
      <c r="AD39" s="58"/>
      <c r="AE39" s="58"/>
      <c r="AF39" s="58"/>
      <c r="AG39" s="58"/>
      <c r="AH39" s="58"/>
      <c r="AI39" s="58"/>
      <c r="AJ39" s="11"/>
    </row>
    <row r="40" spans="1:36">
      <c r="A40" s="52" t="str">
        <f>'Rozvaha-zj'!B25</f>
        <v>B.II.</v>
      </c>
      <c r="B40" s="53"/>
      <c r="C40" s="54"/>
      <c r="D40" s="55" t="str">
        <f>'Rozvaha-zj'!C25</f>
        <v>Dlouhodobé závazky</v>
      </c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6">
        <f>'Rozvaha-zj'!A25</f>
        <v>22</v>
      </c>
      <c r="S40" s="57"/>
      <c r="T40" s="58">
        <f>'Rozvaha-zj'!H25/1000</f>
        <v>0</v>
      </c>
      <c r="U40" s="58"/>
      <c r="V40" s="58"/>
      <c r="W40" s="58"/>
      <c r="X40" s="58"/>
      <c r="Y40" s="58"/>
      <c r="Z40" s="58"/>
      <c r="AA40" s="58"/>
      <c r="AB40" s="58">
        <f>'Rozvaha-zj'!P25/1000</f>
        <v>0</v>
      </c>
      <c r="AC40" s="58"/>
      <c r="AD40" s="58"/>
      <c r="AE40" s="58"/>
      <c r="AF40" s="58"/>
      <c r="AG40" s="58"/>
      <c r="AH40" s="58"/>
      <c r="AI40" s="58"/>
      <c r="AJ40" s="11"/>
    </row>
    <row r="41" spans="1:36">
      <c r="A41" s="52" t="str">
        <f>'Rozvaha-zj'!B26</f>
        <v>B.III.</v>
      </c>
      <c r="B41" s="53"/>
      <c r="C41" s="54"/>
      <c r="D41" s="55" t="str">
        <f>'Rozvaha-zj'!C26</f>
        <v>Krátkodobé závazky</v>
      </c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6">
        <f>'Rozvaha-zj'!A26</f>
        <v>23</v>
      </c>
      <c r="S41" s="57"/>
      <c r="T41" s="58">
        <f>'Rozvaha-zj'!H26/1000</f>
        <v>1.446</v>
      </c>
      <c r="U41" s="58"/>
      <c r="V41" s="58"/>
      <c r="W41" s="58"/>
      <c r="X41" s="58"/>
      <c r="Y41" s="58"/>
      <c r="Z41" s="58"/>
      <c r="AA41" s="58"/>
      <c r="AB41" s="58">
        <f>'Rozvaha-zj'!P26/1000</f>
        <v>0</v>
      </c>
      <c r="AC41" s="58"/>
      <c r="AD41" s="58"/>
      <c r="AE41" s="58"/>
      <c r="AF41" s="58"/>
      <c r="AG41" s="58"/>
      <c r="AH41" s="58"/>
      <c r="AI41" s="58"/>
      <c r="AJ41" s="11"/>
    </row>
    <row r="42" spans="1:36" ht="15" customHeight="1">
      <c r="A42" s="52" t="str">
        <f>'Rozvaha-zj'!B27</f>
        <v>B.IV.</v>
      </c>
      <c r="B42" s="53"/>
      <c r="C42" s="54"/>
      <c r="D42" s="55" t="str">
        <f>'Rozvaha-zj'!C27</f>
        <v>Bankovní úvěry a výpomoci</v>
      </c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6">
        <f>'Rozvaha-zj'!A27</f>
        <v>24</v>
      </c>
      <c r="S42" s="57"/>
      <c r="T42" s="58">
        <f>'Rozvaha-zj'!H27/1000</f>
        <v>0</v>
      </c>
      <c r="U42" s="58"/>
      <c r="V42" s="58"/>
      <c r="W42" s="58"/>
      <c r="X42" s="58"/>
      <c r="Y42" s="58"/>
      <c r="Z42" s="58"/>
      <c r="AA42" s="58"/>
      <c r="AB42" s="58">
        <f>'Rozvaha-zj'!P27/1000</f>
        <v>0</v>
      </c>
      <c r="AC42" s="58"/>
      <c r="AD42" s="58"/>
      <c r="AE42" s="58"/>
      <c r="AF42" s="58"/>
      <c r="AG42" s="58"/>
      <c r="AH42" s="58"/>
      <c r="AI42" s="58"/>
      <c r="AJ42" s="11"/>
    </row>
    <row r="43" spans="1:36">
      <c r="A43" s="52" t="str">
        <f>'Rozvaha-zj'!B28</f>
        <v>C.I.</v>
      </c>
      <c r="B43" s="53"/>
      <c r="C43" s="54"/>
      <c r="D43" s="55" t="str">
        <f>'Rozvaha-zj'!C28</f>
        <v>Časové rozlišení</v>
      </c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6">
        <f>'Rozvaha-zj'!A28</f>
        <v>25</v>
      </c>
      <c r="S43" s="57"/>
      <c r="T43" s="58">
        <f>'Rozvaha-zj'!H28/1000</f>
        <v>0</v>
      </c>
      <c r="U43" s="58"/>
      <c r="V43" s="58"/>
      <c r="W43" s="58"/>
      <c r="X43" s="58"/>
      <c r="Y43" s="58"/>
      <c r="Z43" s="58"/>
      <c r="AA43" s="58"/>
      <c r="AB43" s="58">
        <f>'Rozvaha-zj'!P28/1000</f>
        <v>0</v>
      </c>
      <c r="AC43" s="58"/>
      <c r="AD43" s="58"/>
      <c r="AE43" s="58"/>
      <c r="AF43" s="58"/>
      <c r="AG43" s="58"/>
      <c r="AH43" s="58"/>
      <c r="AI43" s="58"/>
      <c r="AJ43" s="11"/>
    </row>
    <row r="44" spans="1:36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</row>
    <row r="45" spans="1:36">
      <c r="A45" s="32" t="s">
        <v>910</v>
      </c>
      <c r="B45" s="12"/>
      <c r="C45" s="12"/>
      <c r="D45" s="12"/>
      <c r="E45" s="12"/>
      <c r="F45" s="12"/>
      <c r="G45" s="12"/>
      <c r="H45" s="12"/>
      <c r="I45" s="12"/>
      <c r="J45" s="12"/>
      <c r="K45" s="46">
        <f ca="1">TODAY()</f>
        <v>41045</v>
      </c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11"/>
      <c r="AJ45" s="11"/>
    </row>
    <row r="46" spans="1:36">
      <c r="A46" s="32" t="s">
        <v>911</v>
      </c>
      <c r="B46" s="12"/>
      <c r="C46" s="12"/>
      <c r="D46" s="12"/>
      <c r="E46" s="12"/>
      <c r="F46" s="12"/>
      <c r="G46" s="12"/>
      <c r="H46" s="12"/>
      <c r="I46" s="12"/>
      <c r="J46" s="12"/>
      <c r="K46" s="48" t="s">
        <v>919</v>
      </c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12"/>
      <c r="AJ46" s="11"/>
    </row>
    <row r="47" spans="1:36">
      <c r="A47" s="32" t="s">
        <v>912</v>
      </c>
      <c r="B47" s="12"/>
      <c r="C47" s="12"/>
      <c r="D47" s="12"/>
      <c r="E47" s="12"/>
      <c r="F47" s="12"/>
      <c r="G47" s="12"/>
      <c r="H47" s="12"/>
      <c r="I47" s="12"/>
      <c r="J47" s="12"/>
      <c r="K47" s="48" t="s">
        <v>921</v>
      </c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12"/>
      <c r="AJ47" s="11"/>
    </row>
    <row r="48" spans="1:36">
      <c r="A48" s="50" t="s">
        <v>913</v>
      </c>
      <c r="B48" s="51"/>
      <c r="C48" s="51"/>
      <c r="D48" s="51"/>
      <c r="E48" s="51"/>
      <c r="F48" s="51"/>
      <c r="G48" s="51"/>
      <c r="H48" s="7"/>
      <c r="I48" s="7"/>
      <c r="J48" s="7"/>
      <c r="K48" s="48" t="s">
        <v>920</v>
      </c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7"/>
      <c r="AJ48" s="11"/>
    </row>
    <row r="49" spans="1:36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</sheetData>
  <mergeCells count="186">
    <mergeCell ref="M2:W2"/>
    <mergeCell ref="Z2:AI2"/>
    <mergeCell ref="M3:W3"/>
    <mergeCell ref="Z3:AI3"/>
    <mergeCell ref="N4:V4"/>
    <mergeCell ref="Z4:AI4"/>
    <mergeCell ref="M8:W8"/>
    <mergeCell ref="Z8:AI8"/>
    <mergeCell ref="Z9:AI9"/>
    <mergeCell ref="Z10:AI10"/>
    <mergeCell ref="Z11:AI11"/>
    <mergeCell ref="A13:AJ13"/>
    <mergeCell ref="P5:W5"/>
    <mergeCell ref="Z5:AI5"/>
    <mergeCell ref="N6:V6"/>
    <mergeCell ref="Z6:AI6"/>
    <mergeCell ref="M7:W7"/>
    <mergeCell ref="Z7:AI7"/>
    <mergeCell ref="A14:C15"/>
    <mergeCell ref="D14:Q15"/>
    <mergeCell ref="R14:S15"/>
    <mergeCell ref="T14:AE14"/>
    <mergeCell ref="AF14:AI14"/>
    <mergeCell ref="T15:W15"/>
    <mergeCell ref="X15:AA15"/>
    <mergeCell ref="AB15:AE15"/>
    <mergeCell ref="AF15:AI15"/>
    <mergeCell ref="AF16:AI16"/>
    <mergeCell ref="A17:C17"/>
    <mergeCell ref="D17:Q17"/>
    <mergeCell ref="R17:S17"/>
    <mergeCell ref="T17:W17"/>
    <mergeCell ref="X17:AA17"/>
    <mergeCell ref="AB17:AE17"/>
    <mergeCell ref="AF17:AI17"/>
    <mergeCell ref="A16:C16"/>
    <mergeCell ref="D16:Q16"/>
    <mergeCell ref="R16:S16"/>
    <mergeCell ref="T16:W16"/>
    <mergeCell ref="X16:AA16"/>
    <mergeCell ref="AB16:AE16"/>
    <mergeCell ref="AF18:AI18"/>
    <mergeCell ref="A19:C19"/>
    <mergeCell ref="D19:Q19"/>
    <mergeCell ref="R19:S19"/>
    <mergeCell ref="T19:W19"/>
    <mergeCell ref="X19:AA19"/>
    <mergeCell ref="AB19:AE19"/>
    <mergeCell ref="AF19:AI19"/>
    <mergeCell ref="A18:C18"/>
    <mergeCell ref="D18:Q18"/>
    <mergeCell ref="R18:S18"/>
    <mergeCell ref="T18:W18"/>
    <mergeCell ref="X18:AA18"/>
    <mergeCell ref="AB18:AE18"/>
    <mergeCell ref="AF20:AI20"/>
    <mergeCell ref="A21:C21"/>
    <mergeCell ref="D21:Q21"/>
    <mergeCell ref="R21:S21"/>
    <mergeCell ref="T21:W21"/>
    <mergeCell ref="X21:AA21"/>
    <mergeCell ref="AB21:AE21"/>
    <mergeCell ref="AF21:AI21"/>
    <mergeCell ref="A20:C20"/>
    <mergeCell ref="D20:Q20"/>
    <mergeCell ref="R20:S20"/>
    <mergeCell ref="T20:W20"/>
    <mergeCell ref="X20:AA20"/>
    <mergeCell ref="AB20:AE20"/>
    <mergeCell ref="AF22:AI22"/>
    <mergeCell ref="A23:C23"/>
    <mergeCell ref="D23:Q23"/>
    <mergeCell ref="R23:S23"/>
    <mergeCell ref="T23:W23"/>
    <mergeCell ref="X23:AA23"/>
    <mergeCell ref="AB23:AE23"/>
    <mergeCell ref="AF23:AI23"/>
    <mergeCell ref="A22:C22"/>
    <mergeCell ref="D22:Q22"/>
    <mergeCell ref="R22:S22"/>
    <mergeCell ref="T22:W22"/>
    <mergeCell ref="X22:AA22"/>
    <mergeCell ref="AB22:AE22"/>
    <mergeCell ref="AF24:AI24"/>
    <mergeCell ref="A25:C25"/>
    <mergeCell ref="D25:Q25"/>
    <mergeCell ref="R25:S25"/>
    <mergeCell ref="T25:W25"/>
    <mergeCell ref="X25:AA25"/>
    <mergeCell ref="AB25:AE25"/>
    <mergeCell ref="AF25:AI25"/>
    <mergeCell ref="A24:C24"/>
    <mergeCell ref="D24:Q24"/>
    <mergeCell ref="R24:S24"/>
    <mergeCell ref="T24:W24"/>
    <mergeCell ref="X24:AA24"/>
    <mergeCell ref="AB24:AE24"/>
    <mergeCell ref="AF26:AI26"/>
    <mergeCell ref="A27:C27"/>
    <mergeCell ref="D27:Q27"/>
    <mergeCell ref="R27:S27"/>
    <mergeCell ref="T27:W27"/>
    <mergeCell ref="X27:AA27"/>
    <mergeCell ref="AB27:AE27"/>
    <mergeCell ref="AF27:AI27"/>
    <mergeCell ref="A26:C26"/>
    <mergeCell ref="D26:Q26"/>
    <mergeCell ref="R26:S26"/>
    <mergeCell ref="T26:W26"/>
    <mergeCell ref="X26:AA26"/>
    <mergeCell ref="AB26:AE26"/>
    <mergeCell ref="A29:C30"/>
    <mergeCell ref="D29:Q30"/>
    <mergeCell ref="R29:S30"/>
    <mergeCell ref="T29:AA30"/>
    <mergeCell ref="AB29:AI30"/>
    <mergeCell ref="A31:C31"/>
    <mergeCell ref="D31:Q31"/>
    <mergeCell ref="R31:S31"/>
    <mergeCell ref="T31:AA31"/>
    <mergeCell ref="AB31:AI31"/>
    <mergeCell ref="A32:C32"/>
    <mergeCell ref="D32:Q32"/>
    <mergeCell ref="R32:S32"/>
    <mergeCell ref="T32:AA32"/>
    <mergeCell ref="AB32:AI32"/>
    <mergeCell ref="A33:C33"/>
    <mergeCell ref="D33:Q33"/>
    <mergeCell ref="R33:S33"/>
    <mergeCell ref="T33:AA33"/>
    <mergeCell ref="AB33:AI33"/>
    <mergeCell ref="A34:C34"/>
    <mergeCell ref="D34:Q34"/>
    <mergeCell ref="R34:S34"/>
    <mergeCell ref="T34:AA34"/>
    <mergeCell ref="AB34:AI34"/>
    <mergeCell ref="A35:C35"/>
    <mergeCell ref="D35:Q35"/>
    <mergeCell ref="R35:S35"/>
    <mergeCell ref="T35:AA35"/>
    <mergeCell ref="AB35:AI35"/>
    <mergeCell ref="A36:C36"/>
    <mergeCell ref="D36:Q36"/>
    <mergeCell ref="R36:S36"/>
    <mergeCell ref="T36:AA36"/>
    <mergeCell ref="AB36:AI36"/>
    <mergeCell ref="A37:C37"/>
    <mergeCell ref="D37:Q37"/>
    <mergeCell ref="R37:S37"/>
    <mergeCell ref="T37:AA37"/>
    <mergeCell ref="AB37:AI37"/>
    <mergeCell ref="A38:C38"/>
    <mergeCell ref="D38:Q38"/>
    <mergeCell ref="R38:S38"/>
    <mergeCell ref="T38:AA38"/>
    <mergeCell ref="AB38:AI38"/>
    <mergeCell ref="A39:C39"/>
    <mergeCell ref="D39:Q39"/>
    <mergeCell ref="R39:S39"/>
    <mergeCell ref="T39:AA39"/>
    <mergeCell ref="AB39:AI39"/>
    <mergeCell ref="A40:C40"/>
    <mergeCell ref="D40:Q40"/>
    <mergeCell ref="R40:S40"/>
    <mergeCell ref="T40:AA40"/>
    <mergeCell ref="AB40:AI40"/>
    <mergeCell ref="A41:C41"/>
    <mergeCell ref="D41:Q41"/>
    <mergeCell ref="R41:S41"/>
    <mergeCell ref="T41:AA41"/>
    <mergeCell ref="AB41:AI41"/>
    <mergeCell ref="K45:AH45"/>
    <mergeCell ref="K46:AH46"/>
    <mergeCell ref="K47:AH47"/>
    <mergeCell ref="A48:G48"/>
    <mergeCell ref="K48:AH48"/>
    <mergeCell ref="A42:C42"/>
    <mergeCell ref="D42:Q42"/>
    <mergeCell ref="R42:S42"/>
    <mergeCell ref="T42:AA42"/>
    <mergeCell ref="AB42:AI42"/>
    <mergeCell ref="A43:C43"/>
    <mergeCell ref="D43:Q43"/>
    <mergeCell ref="R43:S43"/>
    <mergeCell ref="T43:AA43"/>
    <mergeCell ref="AB43:AI43"/>
  </mergeCells>
  <pageMargins left="0.18" right="0.23" top="0.79" bottom="0.78740157499999996" header="0.3" footer="0.3"/>
  <pageSetup paperSize="9" orientation="portrait" horizontalDpi="12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K60"/>
  <sheetViews>
    <sheetView topLeftCell="A31" workbookViewId="0">
      <selection activeCell="K59" sqref="K59:AH59"/>
    </sheetView>
  </sheetViews>
  <sheetFormatPr defaultRowHeight="15"/>
  <cols>
    <col min="1" max="37" width="2.7109375" customWidth="1"/>
  </cols>
  <sheetData>
    <row r="1" spans="1:37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</row>
    <row r="2" spans="1:37">
      <c r="A2" s="38" t="s">
        <v>887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88" t="s">
        <v>922</v>
      </c>
      <c r="N2" s="88"/>
      <c r="O2" s="88"/>
      <c r="P2" s="88"/>
      <c r="Q2" s="88"/>
      <c r="R2" s="88"/>
      <c r="S2" s="88"/>
      <c r="T2" s="88"/>
      <c r="U2" s="88"/>
      <c r="V2" s="88"/>
      <c r="W2" s="88"/>
      <c r="X2" s="33"/>
      <c r="Y2" s="33"/>
      <c r="Z2" s="87" t="s">
        <v>889</v>
      </c>
      <c r="AA2" s="87"/>
      <c r="AB2" s="87"/>
      <c r="AC2" s="87"/>
      <c r="AD2" s="87"/>
      <c r="AE2" s="87"/>
      <c r="AF2" s="87"/>
      <c r="AG2" s="87"/>
      <c r="AH2" s="87"/>
      <c r="AI2" s="87"/>
      <c r="AJ2" s="33"/>
      <c r="AK2" s="33"/>
    </row>
    <row r="3" spans="1:37">
      <c r="A3" s="38" t="s">
        <v>923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88" t="s">
        <v>891</v>
      </c>
      <c r="N3" s="88"/>
      <c r="O3" s="88"/>
      <c r="P3" s="88"/>
      <c r="Q3" s="88"/>
      <c r="R3" s="88"/>
      <c r="S3" s="88"/>
      <c r="T3" s="88"/>
      <c r="U3" s="88"/>
      <c r="V3" s="88"/>
      <c r="W3" s="88"/>
      <c r="X3" s="33"/>
      <c r="Y3" s="33"/>
      <c r="Z3" s="75" t="s">
        <v>892</v>
      </c>
      <c r="AA3" s="75"/>
      <c r="AB3" s="75"/>
      <c r="AC3" s="75"/>
      <c r="AD3" s="75"/>
      <c r="AE3" s="75"/>
      <c r="AF3" s="75"/>
      <c r="AG3" s="75"/>
      <c r="AH3" s="75"/>
      <c r="AI3" s="75"/>
      <c r="AJ3" s="33"/>
      <c r="AK3" s="33"/>
    </row>
    <row r="4" spans="1:37">
      <c r="A4" s="38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105" t="s">
        <v>893</v>
      </c>
      <c r="O4" s="105"/>
      <c r="P4" s="105"/>
      <c r="Q4" s="105"/>
      <c r="R4" s="105"/>
      <c r="S4" s="105"/>
      <c r="T4" s="105"/>
      <c r="U4" s="105"/>
      <c r="V4" s="105"/>
      <c r="W4" s="33"/>
      <c r="X4" s="33"/>
      <c r="Y4" s="33"/>
      <c r="Z4" s="76" t="s">
        <v>914</v>
      </c>
      <c r="AA4" s="77"/>
      <c r="AB4" s="77"/>
      <c r="AC4" s="77"/>
      <c r="AD4" s="77"/>
      <c r="AE4" s="77"/>
      <c r="AF4" s="77"/>
      <c r="AG4" s="77"/>
      <c r="AH4" s="77"/>
      <c r="AI4" s="77"/>
      <c r="AJ4" s="33"/>
      <c r="AK4" s="33"/>
    </row>
    <row r="5" spans="1:37">
      <c r="A5" s="33"/>
      <c r="B5" s="33"/>
      <c r="C5" s="33"/>
      <c r="D5" s="33"/>
      <c r="E5" s="93" t="s">
        <v>931</v>
      </c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33"/>
      <c r="Y5" s="33"/>
      <c r="Z5" s="78" t="s">
        <v>915</v>
      </c>
      <c r="AA5" s="79"/>
      <c r="AB5" s="79"/>
      <c r="AC5" s="79"/>
      <c r="AD5" s="79"/>
      <c r="AE5" s="79"/>
      <c r="AF5" s="79"/>
      <c r="AG5" s="79"/>
      <c r="AH5" s="79"/>
      <c r="AI5" s="79"/>
      <c r="AJ5" s="33"/>
      <c r="AK5" s="33"/>
    </row>
    <row r="6" spans="1:37" ht="15.75" thickBo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105"/>
      <c r="O6" s="105"/>
      <c r="P6" s="105"/>
      <c r="Q6" s="105"/>
      <c r="R6" s="105"/>
      <c r="S6" s="105"/>
      <c r="T6" s="105"/>
      <c r="U6" s="105"/>
      <c r="V6" s="105"/>
      <c r="W6" s="33"/>
      <c r="X6" s="33"/>
      <c r="Y6" s="3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33"/>
      <c r="AK6" s="33"/>
    </row>
    <row r="7" spans="1:37" ht="15.75" thickBo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84" t="s">
        <v>895</v>
      </c>
      <c r="N7" s="85"/>
      <c r="O7" s="85"/>
      <c r="P7" s="85"/>
      <c r="Q7" s="85"/>
      <c r="R7" s="85"/>
      <c r="S7" s="85"/>
      <c r="T7" s="85"/>
      <c r="U7" s="85"/>
      <c r="V7" s="85"/>
      <c r="W7" s="86"/>
      <c r="X7" s="33"/>
      <c r="Y7" s="33"/>
      <c r="Z7" s="87" t="s">
        <v>896</v>
      </c>
      <c r="AA7" s="87"/>
      <c r="AB7" s="87"/>
      <c r="AC7" s="87"/>
      <c r="AD7" s="87"/>
      <c r="AE7" s="87"/>
      <c r="AF7" s="87"/>
      <c r="AG7" s="87"/>
      <c r="AH7" s="87"/>
      <c r="AI7" s="87"/>
      <c r="AJ7" s="33"/>
      <c r="AK7" s="33"/>
    </row>
    <row r="8" spans="1:37" ht="15.75" thickBo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72">
        <v>29191360</v>
      </c>
      <c r="N8" s="73"/>
      <c r="O8" s="73"/>
      <c r="P8" s="73"/>
      <c r="Q8" s="73"/>
      <c r="R8" s="73"/>
      <c r="S8" s="73"/>
      <c r="T8" s="73"/>
      <c r="U8" s="73"/>
      <c r="V8" s="73"/>
      <c r="W8" s="74"/>
      <c r="X8" s="33"/>
      <c r="Y8" s="33"/>
      <c r="Z8" s="75" t="s">
        <v>897</v>
      </c>
      <c r="AA8" s="75"/>
      <c r="AB8" s="75"/>
      <c r="AC8" s="75"/>
      <c r="AD8" s="75"/>
      <c r="AE8" s="75"/>
      <c r="AF8" s="75"/>
      <c r="AG8" s="75"/>
      <c r="AH8" s="75"/>
      <c r="AI8" s="75"/>
      <c r="AJ8" s="33"/>
      <c r="AK8" s="33"/>
    </row>
    <row r="9" spans="1:37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76" t="s">
        <v>916</v>
      </c>
      <c r="AA9" s="77"/>
      <c r="AB9" s="77"/>
      <c r="AC9" s="77"/>
      <c r="AD9" s="77"/>
      <c r="AE9" s="77"/>
      <c r="AF9" s="77"/>
      <c r="AG9" s="77"/>
      <c r="AH9" s="77"/>
      <c r="AI9" s="77"/>
      <c r="AJ9" s="33"/>
      <c r="AK9" s="33"/>
    </row>
    <row r="10" spans="1:37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78" t="s">
        <v>917</v>
      </c>
      <c r="AA10" s="79"/>
      <c r="AB10" s="79"/>
      <c r="AC10" s="79"/>
      <c r="AD10" s="79"/>
      <c r="AE10" s="79"/>
      <c r="AF10" s="79"/>
      <c r="AG10" s="79"/>
      <c r="AH10" s="79"/>
      <c r="AI10" s="79"/>
      <c r="AJ10" s="33"/>
      <c r="AK10" s="33"/>
    </row>
    <row r="11" spans="1:37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33"/>
      <c r="AK11" s="33"/>
    </row>
    <row r="12" spans="1:37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33"/>
    </row>
    <row r="13" spans="1:37">
      <c r="A13" s="100" t="s">
        <v>898</v>
      </c>
      <c r="B13" s="100"/>
      <c r="C13" s="100"/>
      <c r="D13" s="100" t="s">
        <v>924</v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 t="s">
        <v>900</v>
      </c>
      <c r="W13" s="100"/>
      <c r="X13" s="102" t="s">
        <v>925</v>
      </c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39"/>
      <c r="AK13" s="33"/>
    </row>
    <row r="14" spans="1:37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3" t="s">
        <v>926</v>
      </c>
      <c r="Y14" s="103"/>
      <c r="Z14" s="103"/>
      <c r="AA14" s="103"/>
      <c r="AB14" s="103"/>
      <c r="AC14" s="103"/>
      <c r="AD14" s="103" t="s">
        <v>927</v>
      </c>
      <c r="AE14" s="103"/>
      <c r="AF14" s="103"/>
      <c r="AG14" s="103"/>
      <c r="AH14" s="103"/>
      <c r="AI14" s="103"/>
      <c r="AJ14" s="39"/>
      <c r="AK14" s="33"/>
    </row>
    <row r="15" spans="1:37">
      <c r="A15" s="94" t="str">
        <f>'VZS-zj'!B2</f>
        <v>I.</v>
      </c>
      <c r="B15" s="94"/>
      <c r="C15" s="94"/>
      <c r="D15" s="95" t="str">
        <f>'VZS-zj'!C2</f>
        <v>Tržby za prodej zboží</v>
      </c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6">
        <f>'VZS-zj'!A2</f>
        <v>1</v>
      </c>
      <c r="W15" s="96"/>
      <c r="X15" s="97">
        <f>'VZS-zj'!E2/1000</f>
        <v>0</v>
      </c>
      <c r="Y15" s="98"/>
      <c r="Z15" s="98"/>
      <c r="AA15" s="98"/>
      <c r="AB15" s="98"/>
      <c r="AC15" s="98"/>
      <c r="AD15" s="99">
        <f>'VZS-zj'!F2/1000</f>
        <v>0</v>
      </c>
      <c r="AE15" s="99"/>
      <c r="AF15" s="99"/>
      <c r="AG15" s="99"/>
      <c r="AH15" s="99"/>
      <c r="AI15" s="99"/>
      <c r="AJ15" s="40"/>
      <c r="AK15" s="33"/>
    </row>
    <row r="16" spans="1:37">
      <c r="A16" s="94" t="str">
        <f>'VZS-zj'!B3</f>
        <v>A.</v>
      </c>
      <c r="B16" s="94"/>
      <c r="C16" s="94"/>
      <c r="D16" s="95" t="str">
        <f>'VZS-zj'!C3</f>
        <v>Náklady vynaložené na prodané zboží</v>
      </c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6">
        <f>'VZS-zj'!A3</f>
        <v>2</v>
      </c>
      <c r="W16" s="96"/>
      <c r="X16" s="97">
        <f>'VZS-zj'!E3/1000</f>
        <v>0</v>
      </c>
      <c r="Y16" s="98"/>
      <c r="Z16" s="98"/>
      <c r="AA16" s="98"/>
      <c r="AB16" s="98"/>
      <c r="AC16" s="98"/>
      <c r="AD16" s="99">
        <f>'VZS-zj'!F3/1000</f>
        <v>0</v>
      </c>
      <c r="AE16" s="99"/>
      <c r="AF16" s="99"/>
      <c r="AG16" s="99"/>
      <c r="AH16" s="99"/>
      <c r="AI16" s="99"/>
      <c r="AJ16" s="40"/>
      <c r="AK16" s="33"/>
    </row>
    <row r="17" spans="1:37">
      <c r="A17" s="94" t="str">
        <f>'VZS-zj'!B4</f>
        <v>+</v>
      </c>
      <c r="B17" s="94"/>
      <c r="C17" s="94"/>
      <c r="D17" s="95" t="str">
        <f>'VZS-zj'!C4</f>
        <v>Obchodní marže</v>
      </c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6">
        <f>'VZS-zj'!A4</f>
        <v>3</v>
      </c>
      <c r="W17" s="96"/>
      <c r="X17" s="97">
        <f>'VZS-zj'!E4/1000</f>
        <v>0</v>
      </c>
      <c r="Y17" s="98"/>
      <c r="Z17" s="98"/>
      <c r="AA17" s="98"/>
      <c r="AB17" s="98"/>
      <c r="AC17" s="98"/>
      <c r="AD17" s="99">
        <f>'VZS-zj'!F4/1000</f>
        <v>0</v>
      </c>
      <c r="AE17" s="99"/>
      <c r="AF17" s="99"/>
      <c r="AG17" s="99"/>
      <c r="AH17" s="99"/>
      <c r="AI17" s="99"/>
      <c r="AJ17" s="40"/>
      <c r="AK17" s="33"/>
    </row>
    <row r="18" spans="1:37">
      <c r="A18" s="94" t="str">
        <f>'VZS-zj'!B5</f>
        <v>II.</v>
      </c>
      <c r="B18" s="94"/>
      <c r="C18" s="94"/>
      <c r="D18" s="95" t="str">
        <f>'VZS-zj'!C5</f>
        <v>Výkony</v>
      </c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6">
        <f>'VZS-zj'!A5</f>
        <v>4</v>
      </c>
      <c r="W18" s="96"/>
      <c r="X18" s="97">
        <f>'VZS-zj'!E5/1000</f>
        <v>225.80600000000001</v>
      </c>
      <c r="Y18" s="98"/>
      <c r="Z18" s="98"/>
      <c r="AA18" s="98"/>
      <c r="AB18" s="98"/>
      <c r="AC18" s="98"/>
      <c r="AD18" s="99">
        <f>'VZS-zj'!F5/1000</f>
        <v>0</v>
      </c>
      <c r="AE18" s="99"/>
      <c r="AF18" s="99"/>
      <c r="AG18" s="99"/>
      <c r="AH18" s="99"/>
      <c r="AI18" s="99"/>
      <c r="AJ18" s="40"/>
      <c r="AK18" s="33"/>
    </row>
    <row r="19" spans="1:37">
      <c r="A19" s="94" t="str">
        <f>'VZS-zj'!B6</f>
        <v>B.</v>
      </c>
      <c r="B19" s="94"/>
      <c r="C19" s="94"/>
      <c r="D19" s="95" t="str">
        <f>'VZS-zj'!C6</f>
        <v>Výkonová spotřeba</v>
      </c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6">
        <f>'VZS-zj'!A6</f>
        <v>5</v>
      </c>
      <c r="W19" s="96"/>
      <c r="X19" s="97">
        <f>'VZS-zj'!E6/1000</f>
        <v>249.83821</v>
      </c>
      <c r="Y19" s="98"/>
      <c r="Z19" s="98"/>
      <c r="AA19" s="98"/>
      <c r="AB19" s="98"/>
      <c r="AC19" s="98"/>
      <c r="AD19" s="99">
        <f>'VZS-zj'!F6/1000</f>
        <v>0</v>
      </c>
      <c r="AE19" s="99"/>
      <c r="AF19" s="99"/>
      <c r="AG19" s="99"/>
      <c r="AH19" s="99"/>
      <c r="AI19" s="99"/>
      <c r="AJ19" s="40"/>
      <c r="AK19" s="33"/>
    </row>
    <row r="20" spans="1:37">
      <c r="A20" s="94" t="str">
        <f>'VZS-zj'!B7</f>
        <v>+</v>
      </c>
      <c r="B20" s="94"/>
      <c r="C20" s="94"/>
      <c r="D20" s="95" t="str">
        <f>'VZS-zj'!C7</f>
        <v>Přidaná hodnota</v>
      </c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6">
        <f>'VZS-zj'!A7</f>
        <v>6</v>
      </c>
      <c r="W20" s="96"/>
      <c r="X20" s="97">
        <f>'VZS-zj'!E7/1000</f>
        <v>-24.032209999999992</v>
      </c>
      <c r="Y20" s="98"/>
      <c r="Z20" s="98"/>
      <c r="AA20" s="98"/>
      <c r="AB20" s="98"/>
      <c r="AC20" s="98"/>
      <c r="AD20" s="99">
        <f>'VZS-zj'!F7/1000</f>
        <v>0</v>
      </c>
      <c r="AE20" s="99"/>
      <c r="AF20" s="99"/>
      <c r="AG20" s="99"/>
      <c r="AH20" s="99"/>
      <c r="AI20" s="99"/>
      <c r="AJ20" s="40"/>
      <c r="AK20" s="33"/>
    </row>
    <row r="21" spans="1:37">
      <c r="A21" s="94" t="str">
        <f>'VZS-zj'!B8</f>
        <v>C.</v>
      </c>
      <c r="B21" s="94"/>
      <c r="C21" s="94"/>
      <c r="D21" s="95" t="str">
        <f>'VZS-zj'!C8</f>
        <v>Osobní náklady</v>
      </c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6">
        <f>'VZS-zj'!A8</f>
        <v>7</v>
      </c>
      <c r="W21" s="96"/>
      <c r="X21" s="97">
        <f>'VZS-zj'!E8/1000</f>
        <v>0</v>
      </c>
      <c r="Y21" s="98"/>
      <c r="Z21" s="98"/>
      <c r="AA21" s="98"/>
      <c r="AB21" s="98"/>
      <c r="AC21" s="98"/>
      <c r="AD21" s="99">
        <f>'VZS-zj'!F8/1000</f>
        <v>0</v>
      </c>
      <c r="AE21" s="99"/>
      <c r="AF21" s="99"/>
      <c r="AG21" s="99"/>
      <c r="AH21" s="99"/>
      <c r="AI21" s="99"/>
      <c r="AJ21" s="40"/>
      <c r="AK21" s="33"/>
    </row>
    <row r="22" spans="1:37">
      <c r="A22" s="94" t="str">
        <f>'VZS-zj'!B9</f>
        <v>D.</v>
      </c>
      <c r="B22" s="94"/>
      <c r="C22" s="94"/>
      <c r="D22" s="95" t="str">
        <f>'VZS-zj'!C9</f>
        <v>Daně</v>
      </c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6">
        <f>'VZS-zj'!A9</f>
        <v>8</v>
      </c>
      <c r="W22" s="96"/>
      <c r="X22" s="97">
        <f>'VZS-zj'!E9/1000</f>
        <v>0</v>
      </c>
      <c r="Y22" s="98"/>
      <c r="Z22" s="98"/>
      <c r="AA22" s="98"/>
      <c r="AB22" s="98"/>
      <c r="AC22" s="98"/>
      <c r="AD22" s="99">
        <f>'VZS-zj'!F9/1000</f>
        <v>0</v>
      </c>
      <c r="AE22" s="99"/>
      <c r="AF22" s="99"/>
      <c r="AG22" s="99"/>
      <c r="AH22" s="99"/>
      <c r="AI22" s="99"/>
      <c r="AJ22" s="40"/>
      <c r="AK22" s="33"/>
    </row>
    <row r="23" spans="1:37">
      <c r="A23" s="94" t="str">
        <f>'VZS-zj'!B10</f>
        <v>E.</v>
      </c>
      <c r="B23" s="94"/>
      <c r="C23" s="94"/>
      <c r="D23" s="95" t="str">
        <f>'VZS-zj'!C10</f>
        <v>Odpisy dlouhodobého nehmotného a hmotného majetku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6">
        <f>'VZS-zj'!A10</f>
        <v>9</v>
      </c>
      <c r="W23" s="96"/>
      <c r="X23" s="97">
        <f>'VZS-zj'!E10/1000</f>
        <v>0</v>
      </c>
      <c r="Y23" s="98"/>
      <c r="Z23" s="98"/>
      <c r="AA23" s="98"/>
      <c r="AB23" s="98"/>
      <c r="AC23" s="98"/>
      <c r="AD23" s="99">
        <f>'VZS-zj'!F10/1000</f>
        <v>0</v>
      </c>
      <c r="AE23" s="99"/>
      <c r="AF23" s="99"/>
      <c r="AG23" s="99"/>
      <c r="AH23" s="99"/>
      <c r="AI23" s="99"/>
      <c r="AJ23" s="40"/>
      <c r="AK23" s="33"/>
    </row>
    <row r="24" spans="1:37">
      <c r="A24" s="94" t="str">
        <f>'VZS-zj'!B11</f>
        <v>III.</v>
      </c>
      <c r="B24" s="94"/>
      <c r="C24" s="94"/>
      <c r="D24" s="95" t="str">
        <f>'VZS-zj'!C11</f>
        <v>Tržby z prodeje dlouhodobého majetku a materiálu</v>
      </c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6">
        <f>'VZS-zj'!A11</f>
        <v>10</v>
      </c>
      <c r="W24" s="96"/>
      <c r="X24" s="97">
        <f>'VZS-zj'!E11/1000</f>
        <v>0</v>
      </c>
      <c r="Y24" s="98"/>
      <c r="Z24" s="98"/>
      <c r="AA24" s="98"/>
      <c r="AB24" s="98"/>
      <c r="AC24" s="98"/>
      <c r="AD24" s="99">
        <f>'VZS-zj'!F11/1000</f>
        <v>0</v>
      </c>
      <c r="AE24" s="99"/>
      <c r="AF24" s="99"/>
      <c r="AG24" s="99"/>
      <c r="AH24" s="99"/>
      <c r="AI24" s="99"/>
      <c r="AJ24" s="40"/>
      <c r="AK24" s="33"/>
    </row>
    <row r="25" spans="1:37">
      <c r="A25" s="94" t="str">
        <f>'VZS-zj'!B12</f>
        <v>F.</v>
      </c>
      <c r="B25" s="94"/>
      <c r="C25" s="94"/>
      <c r="D25" s="95" t="str">
        <f>'VZS-zj'!C12</f>
        <v>Zůstatková cena prodaného dlouhodobého majetku a materiálu</v>
      </c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6">
        <f>'VZS-zj'!A12</f>
        <v>11</v>
      </c>
      <c r="W25" s="96"/>
      <c r="X25" s="97">
        <f>'VZS-zj'!E12/1000</f>
        <v>0</v>
      </c>
      <c r="Y25" s="98"/>
      <c r="Z25" s="98"/>
      <c r="AA25" s="98"/>
      <c r="AB25" s="98"/>
      <c r="AC25" s="98"/>
      <c r="AD25" s="99">
        <f>'VZS-zj'!F12/1000</f>
        <v>0</v>
      </c>
      <c r="AE25" s="99"/>
      <c r="AF25" s="99"/>
      <c r="AG25" s="99"/>
      <c r="AH25" s="99"/>
      <c r="AI25" s="99"/>
      <c r="AJ25" s="40"/>
      <c r="AK25" s="33"/>
    </row>
    <row r="26" spans="1:37" ht="15" customHeight="1">
      <c r="A26" s="94" t="str">
        <f>'VZS-zj'!B13</f>
        <v>G.</v>
      </c>
      <c r="B26" s="94"/>
      <c r="C26" s="94"/>
      <c r="D26" s="95" t="str">
        <f>'VZS-zj'!C13</f>
        <v>Změna stavu rezerv a opravných položek v provozní oblasti a komplexních nákladů příštích období</v>
      </c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6">
        <f>'VZS-zj'!A13</f>
        <v>12</v>
      </c>
      <c r="W26" s="96"/>
      <c r="X26" s="97">
        <f>'VZS-zj'!E13/1000</f>
        <v>0</v>
      </c>
      <c r="Y26" s="98"/>
      <c r="Z26" s="98"/>
      <c r="AA26" s="98"/>
      <c r="AB26" s="98"/>
      <c r="AC26" s="98"/>
      <c r="AD26" s="99">
        <f>'VZS-zj'!F13/1000</f>
        <v>0</v>
      </c>
      <c r="AE26" s="99"/>
      <c r="AF26" s="99"/>
      <c r="AG26" s="99"/>
      <c r="AH26" s="99"/>
      <c r="AI26" s="99"/>
      <c r="AJ26" s="40"/>
      <c r="AK26" s="33"/>
    </row>
    <row r="27" spans="1:37">
      <c r="A27" s="94" t="str">
        <f>'VZS-zj'!B14</f>
        <v>IV.</v>
      </c>
      <c r="B27" s="94"/>
      <c r="C27" s="94"/>
      <c r="D27" s="95" t="str">
        <f>'VZS-zj'!C14</f>
        <v>Ostatní provozní výnosy</v>
      </c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6">
        <f>'VZS-zj'!A14</f>
        <v>13</v>
      </c>
      <c r="W27" s="96"/>
      <c r="X27" s="97">
        <f>'VZS-zj'!E14/1000</f>
        <v>0</v>
      </c>
      <c r="Y27" s="98"/>
      <c r="Z27" s="98"/>
      <c r="AA27" s="98"/>
      <c r="AB27" s="98"/>
      <c r="AC27" s="98"/>
      <c r="AD27" s="99">
        <f>'VZS-zj'!F14/1000</f>
        <v>0</v>
      </c>
      <c r="AE27" s="99"/>
      <c r="AF27" s="99"/>
      <c r="AG27" s="99"/>
      <c r="AH27" s="99"/>
      <c r="AI27" s="99"/>
      <c r="AJ27" s="40"/>
      <c r="AK27" s="33"/>
    </row>
    <row r="28" spans="1:37">
      <c r="A28" s="94" t="str">
        <f>'VZS-zj'!B15</f>
        <v>H.</v>
      </c>
      <c r="B28" s="94"/>
      <c r="C28" s="94"/>
      <c r="D28" s="95" t="str">
        <f>'VZS-zj'!C15</f>
        <v>Ostatní provozní náklady</v>
      </c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6">
        <f>'VZS-zj'!A15</f>
        <v>14</v>
      </c>
      <c r="W28" s="96"/>
      <c r="X28" s="97">
        <f>'VZS-zj'!E15/1000</f>
        <v>0</v>
      </c>
      <c r="Y28" s="98"/>
      <c r="Z28" s="98"/>
      <c r="AA28" s="98"/>
      <c r="AB28" s="98"/>
      <c r="AC28" s="98"/>
      <c r="AD28" s="99">
        <f>'VZS-zj'!F15/1000</f>
        <v>0</v>
      </c>
      <c r="AE28" s="99"/>
      <c r="AF28" s="99"/>
      <c r="AG28" s="99"/>
      <c r="AH28" s="99"/>
      <c r="AI28" s="99"/>
      <c r="AJ28" s="40"/>
      <c r="AK28" s="33"/>
    </row>
    <row r="29" spans="1:37">
      <c r="A29" s="94" t="str">
        <f>'VZS-zj'!B16</f>
        <v>V.</v>
      </c>
      <c r="B29" s="94"/>
      <c r="C29" s="94"/>
      <c r="D29" s="95" t="str">
        <f>'VZS-zj'!C16</f>
        <v>Převod provozních výnosů</v>
      </c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6">
        <f>'VZS-zj'!A16</f>
        <v>15</v>
      </c>
      <c r="W29" s="96"/>
      <c r="X29" s="97">
        <f>'VZS-zj'!E16/1000</f>
        <v>0</v>
      </c>
      <c r="Y29" s="98"/>
      <c r="Z29" s="98"/>
      <c r="AA29" s="98"/>
      <c r="AB29" s="98"/>
      <c r="AC29" s="98"/>
      <c r="AD29" s="99">
        <f>'VZS-zj'!F16/1000</f>
        <v>0</v>
      </c>
      <c r="AE29" s="99"/>
      <c r="AF29" s="99"/>
      <c r="AG29" s="99"/>
      <c r="AH29" s="99"/>
      <c r="AI29" s="99"/>
      <c r="AJ29" s="40"/>
      <c r="AK29" s="33"/>
    </row>
    <row r="30" spans="1:37">
      <c r="A30" s="94" t="str">
        <f>'VZS-zj'!B17</f>
        <v>I.</v>
      </c>
      <c r="B30" s="94"/>
      <c r="C30" s="94"/>
      <c r="D30" s="95" t="str">
        <f>'VZS-zj'!C17</f>
        <v>Převod provozních nákladů</v>
      </c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6">
        <f>'VZS-zj'!A17</f>
        <v>16</v>
      </c>
      <c r="W30" s="96"/>
      <c r="X30" s="97">
        <f>'VZS-zj'!E17/1000</f>
        <v>0</v>
      </c>
      <c r="Y30" s="98"/>
      <c r="Z30" s="98"/>
      <c r="AA30" s="98"/>
      <c r="AB30" s="98"/>
      <c r="AC30" s="98"/>
      <c r="AD30" s="99">
        <f>'VZS-zj'!F17/1000</f>
        <v>0</v>
      </c>
      <c r="AE30" s="99"/>
      <c r="AF30" s="99"/>
      <c r="AG30" s="99"/>
      <c r="AH30" s="99"/>
      <c r="AI30" s="99"/>
      <c r="AJ30" s="40"/>
      <c r="AK30" s="33"/>
    </row>
    <row r="31" spans="1:37" ht="15" customHeight="1">
      <c r="A31" s="94" t="str">
        <f>'VZS-zj'!B18</f>
        <v>*</v>
      </c>
      <c r="B31" s="94"/>
      <c r="C31" s="94"/>
      <c r="D31" s="95" t="str">
        <f>'VZS-zj'!C18</f>
        <v>Provozní výsledek hospodaření</v>
      </c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6">
        <f>'VZS-zj'!A18</f>
        <v>17</v>
      </c>
      <c r="W31" s="96"/>
      <c r="X31" s="97">
        <f>'VZS-zj'!E18/1000</f>
        <v>-24.032209999999992</v>
      </c>
      <c r="Y31" s="98"/>
      <c r="Z31" s="98"/>
      <c r="AA31" s="98"/>
      <c r="AB31" s="98"/>
      <c r="AC31" s="98"/>
      <c r="AD31" s="99">
        <f>'VZS-zj'!F18/1000</f>
        <v>0</v>
      </c>
      <c r="AE31" s="99"/>
      <c r="AF31" s="99"/>
      <c r="AG31" s="99"/>
      <c r="AH31" s="99"/>
      <c r="AI31" s="99"/>
      <c r="AJ31" s="40"/>
      <c r="AK31" s="33"/>
    </row>
    <row r="32" spans="1:37" ht="15" customHeight="1">
      <c r="A32" s="94" t="str">
        <f>'VZS-zj'!B19</f>
        <v>VI.</v>
      </c>
      <c r="B32" s="94"/>
      <c r="C32" s="94"/>
      <c r="D32" s="95" t="str">
        <f>'VZS-zj'!C19</f>
        <v>Tržby z prodeje cenných papírů a podílů</v>
      </c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6">
        <f>'VZS-zj'!A19</f>
        <v>18</v>
      </c>
      <c r="W32" s="96"/>
      <c r="X32" s="97">
        <f>'VZS-zj'!E19/1000</f>
        <v>0</v>
      </c>
      <c r="Y32" s="98"/>
      <c r="Z32" s="98"/>
      <c r="AA32" s="98"/>
      <c r="AB32" s="98"/>
      <c r="AC32" s="98"/>
      <c r="AD32" s="99">
        <f>'VZS-zj'!F19/1000</f>
        <v>0</v>
      </c>
      <c r="AE32" s="99"/>
      <c r="AF32" s="99"/>
      <c r="AG32" s="99"/>
      <c r="AH32" s="99"/>
      <c r="AI32" s="99"/>
      <c r="AJ32" s="40"/>
      <c r="AK32" s="33"/>
    </row>
    <row r="33" spans="1:37">
      <c r="A33" s="94" t="str">
        <f>'VZS-zj'!B20</f>
        <v>J.</v>
      </c>
      <c r="B33" s="94"/>
      <c r="C33" s="94"/>
      <c r="D33" s="95" t="str">
        <f>'VZS-zj'!C20</f>
        <v>Prodané cenné papíry a podíly</v>
      </c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6">
        <f>'VZS-zj'!A20</f>
        <v>19</v>
      </c>
      <c r="W33" s="96"/>
      <c r="X33" s="97">
        <f>'VZS-zj'!E20/1000</f>
        <v>0</v>
      </c>
      <c r="Y33" s="98"/>
      <c r="Z33" s="98"/>
      <c r="AA33" s="98"/>
      <c r="AB33" s="98"/>
      <c r="AC33" s="98"/>
      <c r="AD33" s="99">
        <f>'VZS-zj'!F20/1000</f>
        <v>0</v>
      </c>
      <c r="AE33" s="99"/>
      <c r="AF33" s="99"/>
      <c r="AG33" s="99"/>
      <c r="AH33" s="99"/>
      <c r="AI33" s="99"/>
      <c r="AJ33" s="40"/>
      <c r="AK33" s="33"/>
    </row>
    <row r="34" spans="1:37">
      <c r="A34" s="94" t="str">
        <f>'VZS-zj'!B21</f>
        <v>VII.</v>
      </c>
      <c r="B34" s="94"/>
      <c r="C34" s="94"/>
      <c r="D34" s="95" t="str">
        <f>'VZS-zj'!C21</f>
        <v>Výnosy z dlouhodobého finančního majetku</v>
      </c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6">
        <f>'VZS-zj'!A21</f>
        <v>20</v>
      </c>
      <c r="W34" s="96"/>
      <c r="X34" s="97">
        <f>'VZS-zj'!E21/1000</f>
        <v>0</v>
      </c>
      <c r="Y34" s="98"/>
      <c r="Z34" s="98"/>
      <c r="AA34" s="98"/>
      <c r="AB34" s="98"/>
      <c r="AC34" s="98"/>
      <c r="AD34" s="99">
        <f>'VZS-zj'!F21/1000</f>
        <v>0</v>
      </c>
      <c r="AE34" s="99"/>
      <c r="AF34" s="99"/>
      <c r="AG34" s="99"/>
      <c r="AH34" s="99"/>
      <c r="AI34" s="99"/>
      <c r="AJ34" s="40"/>
      <c r="AK34" s="33"/>
    </row>
    <row r="35" spans="1:37">
      <c r="A35" s="94" t="str">
        <f>'VZS-zj'!B22</f>
        <v>VIII.</v>
      </c>
      <c r="B35" s="94"/>
      <c r="C35" s="94"/>
      <c r="D35" s="95" t="str">
        <f>'VZS-zj'!C22</f>
        <v>Výnosy z krátkodobého finančního majetku</v>
      </c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6">
        <f>'VZS-zj'!A22</f>
        <v>21</v>
      </c>
      <c r="W35" s="96"/>
      <c r="X35" s="97">
        <f>'VZS-zj'!E22/1000</f>
        <v>0</v>
      </c>
      <c r="Y35" s="98"/>
      <c r="Z35" s="98"/>
      <c r="AA35" s="98"/>
      <c r="AB35" s="98"/>
      <c r="AC35" s="98"/>
      <c r="AD35" s="99">
        <f>'VZS-zj'!F22/1000</f>
        <v>0</v>
      </c>
      <c r="AE35" s="99"/>
      <c r="AF35" s="99"/>
      <c r="AG35" s="99"/>
      <c r="AH35" s="99"/>
      <c r="AI35" s="99"/>
      <c r="AJ35" s="40"/>
      <c r="AK35" s="33"/>
    </row>
    <row r="36" spans="1:37">
      <c r="A36" s="94" t="str">
        <f>'VZS-zj'!B23</f>
        <v>K.</v>
      </c>
      <c r="B36" s="94"/>
      <c r="C36" s="94"/>
      <c r="D36" s="95" t="str">
        <f>'VZS-zj'!C23</f>
        <v>Náklady z finančního majetku</v>
      </c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6">
        <f>'VZS-zj'!A23</f>
        <v>22</v>
      </c>
      <c r="W36" s="96"/>
      <c r="X36" s="97">
        <f>'VZS-zj'!E23/1000</f>
        <v>0</v>
      </c>
      <c r="Y36" s="98"/>
      <c r="Z36" s="98"/>
      <c r="AA36" s="98"/>
      <c r="AB36" s="98"/>
      <c r="AC36" s="98"/>
      <c r="AD36" s="99">
        <f>'VZS-zj'!F23/1000</f>
        <v>0</v>
      </c>
      <c r="AE36" s="99"/>
      <c r="AF36" s="99"/>
      <c r="AG36" s="99"/>
      <c r="AH36" s="99"/>
      <c r="AI36" s="99"/>
      <c r="AJ36" s="40"/>
      <c r="AK36" s="33"/>
    </row>
    <row r="37" spans="1:37">
      <c r="A37" s="94" t="str">
        <f>'VZS-zj'!B24</f>
        <v>IX.</v>
      </c>
      <c r="B37" s="94"/>
      <c r="C37" s="94"/>
      <c r="D37" s="95" t="str">
        <f>'VZS-zj'!C24</f>
        <v>Výnosy z přecenění cenných papírů a derivátů</v>
      </c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6">
        <f>'VZS-zj'!A24</f>
        <v>23</v>
      </c>
      <c r="W37" s="96"/>
      <c r="X37" s="97">
        <f>'VZS-zj'!E24/1000</f>
        <v>0</v>
      </c>
      <c r="Y37" s="98"/>
      <c r="Z37" s="98"/>
      <c r="AA37" s="98"/>
      <c r="AB37" s="98"/>
      <c r="AC37" s="98"/>
      <c r="AD37" s="99">
        <f>'VZS-zj'!F24/1000</f>
        <v>0</v>
      </c>
      <c r="AE37" s="99"/>
      <c r="AF37" s="99"/>
      <c r="AG37" s="99"/>
      <c r="AH37" s="99"/>
      <c r="AI37" s="99"/>
      <c r="AJ37" s="40"/>
      <c r="AK37" s="33"/>
    </row>
    <row r="38" spans="1:37">
      <c r="A38" s="94" t="str">
        <f>'VZS-zj'!B25</f>
        <v>L.</v>
      </c>
      <c r="B38" s="94"/>
      <c r="C38" s="94"/>
      <c r="D38" s="95" t="str">
        <f>'VZS-zj'!C25</f>
        <v>Náklady z přecenění cenných papírů a derivátů</v>
      </c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6">
        <f>'VZS-zj'!A25</f>
        <v>24</v>
      </c>
      <c r="W38" s="96"/>
      <c r="X38" s="97">
        <f>'VZS-zj'!E25/1000</f>
        <v>0</v>
      </c>
      <c r="Y38" s="98"/>
      <c r="Z38" s="98"/>
      <c r="AA38" s="98"/>
      <c r="AB38" s="98"/>
      <c r="AC38" s="98"/>
      <c r="AD38" s="99">
        <f>'VZS-zj'!F25/1000</f>
        <v>0</v>
      </c>
      <c r="AE38" s="99"/>
      <c r="AF38" s="99"/>
      <c r="AG38" s="99"/>
      <c r="AH38" s="99"/>
      <c r="AI38" s="99"/>
      <c r="AJ38" s="40"/>
      <c r="AK38" s="33"/>
    </row>
    <row r="39" spans="1:37">
      <c r="A39" s="94" t="str">
        <f>'VZS-zj'!B26</f>
        <v>M.</v>
      </c>
      <c r="B39" s="94"/>
      <c r="C39" s="94"/>
      <c r="D39" s="95" t="str">
        <f>'VZS-zj'!C26</f>
        <v>Změna stavu rezerv a opravných položek ve finanční oblasti</v>
      </c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6">
        <f>'VZS-zj'!A26</f>
        <v>25</v>
      </c>
      <c r="W39" s="96"/>
      <c r="X39" s="97">
        <f>'VZS-zj'!E26/1000</f>
        <v>0</v>
      </c>
      <c r="Y39" s="98"/>
      <c r="Z39" s="98"/>
      <c r="AA39" s="98"/>
      <c r="AB39" s="98"/>
      <c r="AC39" s="98"/>
      <c r="AD39" s="99">
        <f>'VZS-zj'!F26/1000</f>
        <v>0</v>
      </c>
      <c r="AE39" s="99"/>
      <c r="AF39" s="99"/>
      <c r="AG39" s="99"/>
      <c r="AH39" s="99"/>
      <c r="AI39" s="99"/>
      <c r="AJ39" s="40"/>
      <c r="AK39" s="33"/>
    </row>
    <row r="40" spans="1:37">
      <c r="A40" s="94" t="str">
        <f>'VZS-zj'!B27</f>
        <v>X.</v>
      </c>
      <c r="B40" s="94"/>
      <c r="C40" s="94"/>
      <c r="D40" s="95" t="str">
        <f>'VZS-zj'!C27</f>
        <v>Výnosové úroky</v>
      </c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6">
        <f>'VZS-zj'!A27</f>
        <v>26</v>
      </c>
      <c r="W40" s="96"/>
      <c r="X40" s="97">
        <f>'VZS-zj'!E27/1000</f>
        <v>5.9090000000000004E-2</v>
      </c>
      <c r="Y40" s="98"/>
      <c r="Z40" s="98"/>
      <c r="AA40" s="98"/>
      <c r="AB40" s="98"/>
      <c r="AC40" s="98"/>
      <c r="AD40" s="99">
        <f>'VZS-zj'!F27/1000</f>
        <v>0</v>
      </c>
      <c r="AE40" s="99"/>
      <c r="AF40" s="99"/>
      <c r="AG40" s="99"/>
      <c r="AH40" s="99"/>
      <c r="AI40" s="99"/>
      <c r="AJ40" s="40"/>
      <c r="AK40" s="33"/>
    </row>
    <row r="41" spans="1:37">
      <c r="A41" s="94" t="str">
        <f>'VZS-zj'!B28</f>
        <v>N.</v>
      </c>
      <c r="B41" s="94"/>
      <c r="C41" s="94"/>
      <c r="D41" s="95" t="str">
        <f>'VZS-zj'!C28</f>
        <v>Nákladové úroky</v>
      </c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6">
        <f>'VZS-zj'!A28</f>
        <v>27</v>
      </c>
      <c r="W41" s="96"/>
      <c r="X41" s="97">
        <f>'VZS-zj'!E28/1000</f>
        <v>0</v>
      </c>
      <c r="Y41" s="98"/>
      <c r="Z41" s="98"/>
      <c r="AA41" s="98"/>
      <c r="AB41" s="98"/>
      <c r="AC41" s="98"/>
      <c r="AD41" s="99">
        <f>'VZS-zj'!F28/1000</f>
        <v>0</v>
      </c>
      <c r="AE41" s="99"/>
      <c r="AF41" s="99"/>
      <c r="AG41" s="99"/>
      <c r="AH41" s="99"/>
      <c r="AI41" s="99"/>
      <c r="AJ41" s="40"/>
      <c r="AK41" s="33"/>
    </row>
    <row r="42" spans="1:37">
      <c r="A42" s="94" t="str">
        <f>'VZS-zj'!B29</f>
        <v>XI.</v>
      </c>
      <c r="B42" s="94"/>
      <c r="C42" s="94"/>
      <c r="D42" s="95" t="str">
        <f>'VZS-zj'!C29</f>
        <v>Ostatní finanční výnosy</v>
      </c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6">
        <f>'VZS-zj'!A29</f>
        <v>28</v>
      </c>
      <c r="W42" s="96"/>
      <c r="X42" s="97">
        <f>'VZS-zj'!E29/1000</f>
        <v>0</v>
      </c>
      <c r="Y42" s="98"/>
      <c r="Z42" s="98"/>
      <c r="AA42" s="98"/>
      <c r="AB42" s="98"/>
      <c r="AC42" s="98"/>
      <c r="AD42" s="99">
        <f>'VZS-zj'!F29/1000</f>
        <v>0</v>
      </c>
      <c r="AE42" s="99"/>
      <c r="AF42" s="99"/>
      <c r="AG42" s="99"/>
      <c r="AH42" s="99"/>
      <c r="AI42" s="99"/>
      <c r="AJ42" s="40"/>
      <c r="AK42" s="33"/>
    </row>
    <row r="43" spans="1:37">
      <c r="A43" s="94" t="str">
        <f>'VZS-zj'!B30</f>
        <v>O.</v>
      </c>
      <c r="B43" s="94"/>
      <c r="C43" s="94"/>
      <c r="D43" s="95" t="str">
        <f>'VZS-zj'!C30</f>
        <v>Ostatní finanční náklady</v>
      </c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6">
        <f>'VZS-zj'!A30</f>
        <v>29</v>
      </c>
      <c r="W43" s="96"/>
      <c r="X43" s="97">
        <f>'VZS-zj'!E30/1000</f>
        <v>0.13100000000000001</v>
      </c>
      <c r="Y43" s="98"/>
      <c r="Z43" s="98"/>
      <c r="AA43" s="98"/>
      <c r="AB43" s="98"/>
      <c r="AC43" s="98"/>
      <c r="AD43" s="99">
        <f>'VZS-zj'!F30/1000</f>
        <v>0</v>
      </c>
      <c r="AE43" s="99"/>
      <c r="AF43" s="99"/>
      <c r="AG43" s="99"/>
      <c r="AH43" s="99"/>
      <c r="AI43" s="99"/>
      <c r="AJ43" s="40"/>
      <c r="AK43" s="33"/>
    </row>
    <row r="44" spans="1:37">
      <c r="A44" s="94" t="str">
        <f>'VZS-zj'!B31</f>
        <v>XII.</v>
      </c>
      <c r="B44" s="94"/>
      <c r="C44" s="94"/>
      <c r="D44" s="95" t="str">
        <f>'VZS-zj'!C31</f>
        <v>Převod finančních výnosů</v>
      </c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6">
        <f>'VZS-zj'!A31</f>
        <v>30</v>
      </c>
      <c r="W44" s="96"/>
      <c r="X44" s="97">
        <f>'VZS-zj'!E31/1000</f>
        <v>0</v>
      </c>
      <c r="Y44" s="98"/>
      <c r="Z44" s="98"/>
      <c r="AA44" s="98"/>
      <c r="AB44" s="98"/>
      <c r="AC44" s="98"/>
      <c r="AD44" s="99">
        <f>'VZS-zj'!F31/1000</f>
        <v>0</v>
      </c>
      <c r="AE44" s="99"/>
      <c r="AF44" s="99"/>
      <c r="AG44" s="99"/>
      <c r="AH44" s="99"/>
      <c r="AI44" s="99"/>
      <c r="AJ44" s="40"/>
      <c r="AK44" s="33"/>
    </row>
    <row r="45" spans="1:37">
      <c r="A45" s="94" t="str">
        <f>'VZS-zj'!B32</f>
        <v>P.</v>
      </c>
      <c r="B45" s="94"/>
      <c r="C45" s="94"/>
      <c r="D45" s="95" t="str">
        <f>'VZS-zj'!C32</f>
        <v>Převod finančních nákladů</v>
      </c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6">
        <f>'VZS-zj'!A32</f>
        <v>31</v>
      </c>
      <c r="W45" s="96"/>
      <c r="X45" s="97">
        <f>'VZS-zj'!E32/1000</f>
        <v>0</v>
      </c>
      <c r="Y45" s="98"/>
      <c r="Z45" s="98"/>
      <c r="AA45" s="98"/>
      <c r="AB45" s="98"/>
      <c r="AC45" s="98"/>
      <c r="AD45" s="99">
        <f>'VZS-zj'!F32/1000</f>
        <v>0</v>
      </c>
      <c r="AE45" s="99"/>
      <c r="AF45" s="99"/>
      <c r="AG45" s="99"/>
      <c r="AH45" s="99"/>
      <c r="AI45" s="99"/>
      <c r="AJ45" s="40"/>
      <c r="AK45" s="33"/>
    </row>
    <row r="46" spans="1:37" ht="15" customHeight="1">
      <c r="A46" s="94" t="str">
        <f>'VZS-zj'!B33</f>
        <v>*</v>
      </c>
      <c r="B46" s="94"/>
      <c r="C46" s="94"/>
      <c r="D46" s="95" t="str">
        <f>'VZS-zj'!C33</f>
        <v>Finanční výsledek hospodaření</v>
      </c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6">
        <f>'VZS-zj'!A33</f>
        <v>32</v>
      </c>
      <c r="W46" s="96"/>
      <c r="X46" s="97">
        <f>'VZS-zj'!E33/1000</f>
        <v>-7.1910000000000002E-2</v>
      </c>
      <c r="Y46" s="98"/>
      <c r="Z46" s="98"/>
      <c r="AA46" s="98"/>
      <c r="AB46" s="98"/>
      <c r="AC46" s="98"/>
      <c r="AD46" s="99">
        <f>'VZS-zj'!F33/1000</f>
        <v>0</v>
      </c>
      <c r="AE46" s="99"/>
      <c r="AF46" s="99"/>
      <c r="AG46" s="99"/>
      <c r="AH46" s="99"/>
      <c r="AI46" s="99"/>
      <c r="AJ46" s="40"/>
      <c r="AK46" s="33"/>
    </row>
    <row r="47" spans="1:37">
      <c r="A47" s="94" t="str">
        <f>'VZS-zj'!B34</f>
        <v>Q.</v>
      </c>
      <c r="B47" s="94"/>
      <c r="C47" s="94"/>
      <c r="D47" s="95" t="str">
        <f>'VZS-zj'!C34</f>
        <v>Daň z příjmů za běžnou činnost</v>
      </c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6">
        <f>'VZS-zj'!A34</f>
        <v>33</v>
      </c>
      <c r="W47" s="96"/>
      <c r="X47" s="97">
        <f>'VZS-zj'!E34/1000</f>
        <v>0</v>
      </c>
      <c r="Y47" s="98"/>
      <c r="Z47" s="98"/>
      <c r="AA47" s="98"/>
      <c r="AB47" s="98"/>
      <c r="AC47" s="98"/>
      <c r="AD47" s="99">
        <f>'VZS-zj'!F34/1000</f>
        <v>0</v>
      </c>
      <c r="AE47" s="99"/>
      <c r="AF47" s="99"/>
      <c r="AG47" s="99"/>
      <c r="AH47" s="99"/>
      <c r="AI47" s="99"/>
      <c r="AJ47" s="40"/>
      <c r="AK47" s="33"/>
    </row>
    <row r="48" spans="1:37">
      <c r="A48" s="94" t="str">
        <f>'VZS-zj'!B35</f>
        <v>**</v>
      </c>
      <c r="B48" s="94"/>
      <c r="C48" s="94"/>
      <c r="D48" s="95" t="str">
        <f>'VZS-zj'!C35</f>
        <v>Výsledek hospodaření za běžnou činnost</v>
      </c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6">
        <f>'VZS-zj'!A35</f>
        <v>34</v>
      </c>
      <c r="W48" s="96"/>
      <c r="X48" s="97">
        <f>'VZS-zj'!E35/1000</f>
        <v>0</v>
      </c>
      <c r="Y48" s="98"/>
      <c r="Z48" s="98"/>
      <c r="AA48" s="98"/>
      <c r="AB48" s="98"/>
      <c r="AC48" s="98"/>
      <c r="AD48" s="99">
        <f>'VZS-zj'!F35/1000</f>
        <v>0</v>
      </c>
      <c r="AE48" s="99"/>
      <c r="AF48" s="99"/>
      <c r="AG48" s="99"/>
      <c r="AH48" s="99"/>
      <c r="AI48" s="99"/>
      <c r="AJ48" s="40"/>
      <c r="AK48" s="33"/>
    </row>
    <row r="49" spans="1:37">
      <c r="A49" s="94" t="str">
        <f>'VZS-zj'!B36</f>
        <v>XIII.</v>
      </c>
      <c r="B49" s="94"/>
      <c r="C49" s="94"/>
      <c r="D49" s="95" t="str">
        <f>'VZS-zj'!C36</f>
        <v>Mimořádné výnosy</v>
      </c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6">
        <f>'VZS-zj'!A36</f>
        <v>35</v>
      </c>
      <c r="W49" s="96"/>
      <c r="X49" s="97">
        <f>'VZS-zj'!E36/1000</f>
        <v>0</v>
      </c>
      <c r="Y49" s="98"/>
      <c r="Z49" s="98"/>
      <c r="AA49" s="98"/>
      <c r="AB49" s="98"/>
      <c r="AC49" s="98"/>
      <c r="AD49" s="99">
        <f>'VZS-zj'!F36/1000</f>
        <v>0</v>
      </c>
      <c r="AE49" s="99"/>
      <c r="AF49" s="99"/>
      <c r="AG49" s="99"/>
      <c r="AH49" s="99"/>
      <c r="AI49" s="99"/>
      <c r="AJ49" s="40"/>
      <c r="AK49" s="33"/>
    </row>
    <row r="50" spans="1:37">
      <c r="A50" s="94" t="str">
        <f>'VZS-zj'!B37</f>
        <v>R.</v>
      </c>
      <c r="B50" s="94"/>
      <c r="C50" s="94"/>
      <c r="D50" s="95" t="str">
        <f>'VZS-zj'!C37</f>
        <v>Mimořádné náklady</v>
      </c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6">
        <f>'VZS-zj'!A37</f>
        <v>36</v>
      </c>
      <c r="W50" s="96"/>
      <c r="X50" s="97">
        <f>'VZS-zj'!E37/1000</f>
        <v>0</v>
      </c>
      <c r="Y50" s="98"/>
      <c r="Z50" s="98"/>
      <c r="AA50" s="98"/>
      <c r="AB50" s="98"/>
      <c r="AC50" s="98"/>
      <c r="AD50" s="99">
        <f>'VZS-zj'!F37/1000</f>
        <v>0</v>
      </c>
      <c r="AE50" s="99"/>
      <c r="AF50" s="99"/>
      <c r="AG50" s="99"/>
      <c r="AH50" s="99"/>
      <c r="AI50" s="99"/>
      <c r="AJ50" s="40"/>
      <c r="AK50" s="33"/>
    </row>
    <row r="51" spans="1:37">
      <c r="A51" s="94" t="str">
        <f>'VZS-zj'!B38</f>
        <v>S.</v>
      </c>
      <c r="B51" s="94"/>
      <c r="C51" s="94"/>
      <c r="D51" s="95" t="str">
        <f>'VZS-zj'!C38</f>
        <v>Daň z příjmů z mimořádné činnosti</v>
      </c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6">
        <f>'VZS-zj'!A38</f>
        <v>37</v>
      </c>
      <c r="W51" s="96"/>
      <c r="X51" s="97">
        <f>'VZS-zj'!E38/1000</f>
        <v>0</v>
      </c>
      <c r="Y51" s="98"/>
      <c r="Z51" s="98"/>
      <c r="AA51" s="98"/>
      <c r="AB51" s="98"/>
      <c r="AC51" s="98"/>
      <c r="AD51" s="99">
        <f>'VZS-zj'!F38/1000</f>
        <v>0</v>
      </c>
      <c r="AE51" s="99"/>
      <c r="AF51" s="99"/>
      <c r="AG51" s="99"/>
      <c r="AH51" s="99"/>
      <c r="AI51" s="99"/>
      <c r="AJ51" s="40"/>
      <c r="AK51" s="33"/>
    </row>
    <row r="52" spans="1:37" ht="15" customHeight="1">
      <c r="A52" s="94" t="str">
        <f>'VZS-zj'!B39</f>
        <v>*</v>
      </c>
      <c r="B52" s="94"/>
      <c r="C52" s="94"/>
      <c r="D52" s="95" t="str">
        <f>'VZS-zj'!C39</f>
        <v>Mimořádný výsledek hospodaření</v>
      </c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6">
        <f>'VZS-zj'!A39</f>
        <v>38</v>
      </c>
      <c r="W52" s="96"/>
      <c r="X52" s="97">
        <f>'VZS-zj'!E39/1000</f>
        <v>0</v>
      </c>
      <c r="Y52" s="98"/>
      <c r="Z52" s="98"/>
      <c r="AA52" s="98"/>
      <c r="AB52" s="98"/>
      <c r="AC52" s="98"/>
      <c r="AD52" s="99">
        <f>'VZS-zj'!F39/1000</f>
        <v>0</v>
      </c>
      <c r="AE52" s="99"/>
      <c r="AF52" s="99"/>
      <c r="AG52" s="99"/>
      <c r="AH52" s="99"/>
      <c r="AI52" s="99"/>
      <c r="AJ52" s="40"/>
      <c r="AK52" s="33"/>
    </row>
    <row r="53" spans="1:37">
      <c r="A53" s="94" t="str">
        <f>'VZS-zj'!B40</f>
        <v>T.</v>
      </c>
      <c r="B53" s="94"/>
      <c r="C53" s="94"/>
      <c r="D53" s="95" t="str">
        <f>'VZS-zj'!C40</f>
        <v>Převod podílů na výsledku hospodaření společníkům (+/-)</v>
      </c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6">
        <f>'VZS-zj'!A40</f>
        <v>39</v>
      </c>
      <c r="W53" s="96"/>
      <c r="X53" s="97">
        <f>'VZS-zj'!E40/1000</f>
        <v>0</v>
      </c>
      <c r="Y53" s="98"/>
      <c r="Z53" s="98"/>
      <c r="AA53" s="98"/>
      <c r="AB53" s="98"/>
      <c r="AC53" s="98"/>
      <c r="AD53" s="99">
        <f>'VZS-zj'!F40/1000</f>
        <v>0</v>
      </c>
      <c r="AE53" s="99"/>
      <c r="AF53" s="99"/>
      <c r="AG53" s="99"/>
      <c r="AH53" s="99"/>
      <c r="AI53" s="99"/>
      <c r="AJ53" s="40"/>
      <c r="AK53" s="33"/>
    </row>
    <row r="54" spans="1:37">
      <c r="A54" s="94" t="str">
        <f>'VZS-zj'!B41</f>
        <v>***</v>
      </c>
      <c r="B54" s="94"/>
      <c r="C54" s="94"/>
      <c r="D54" s="95" t="str">
        <f>'VZS-zj'!C41</f>
        <v>Výsledek hospodaření za účetní období (+/-)</v>
      </c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6">
        <f>'VZS-zj'!A41</f>
        <v>40</v>
      </c>
      <c r="W54" s="96"/>
      <c r="X54" s="97">
        <f>'VZS-zj'!E41/1000</f>
        <v>-24.104119999999991</v>
      </c>
      <c r="Y54" s="98"/>
      <c r="Z54" s="98"/>
      <c r="AA54" s="98"/>
      <c r="AB54" s="98"/>
      <c r="AC54" s="98"/>
      <c r="AD54" s="99">
        <f>'VZS-zj'!F41/1000</f>
        <v>0</v>
      </c>
      <c r="AE54" s="99"/>
      <c r="AF54" s="99"/>
      <c r="AG54" s="99"/>
      <c r="AH54" s="99"/>
      <c r="AI54" s="99"/>
      <c r="AJ54" s="40"/>
      <c r="AK54" s="33"/>
    </row>
    <row r="55" spans="1:37">
      <c r="A55" s="94" t="str">
        <f>'VZS-zj'!B42</f>
        <v>****</v>
      </c>
      <c r="B55" s="94"/>
      <c r="C55" s="94"/>
      <c r="D55" s="95" t="str">
        <f>'VZS-zj'!C42</f>
        <v>Výsledek hospodaření před zdaněním</v>
      </c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6">
        <f>'VZS-zj'!A42</f>
        <v>41</v>
      </c>
      <c r="W55" s="96"/>
      <c r="X55" s="97">
        <f>'VZS-zj'!E42/1000</f>
        <v>0</v>
      </c>
      <c r="Y55" s="98"/>
      <c r="Z55" s="98"/>
      <c r="AA55" s="98"/>
      <c r="AB55" s="98"/>
      <c r="AC55" s="98"/>
      <c r="AD55" s="99">
        <f>'VZS-zj'!F42/1000</f>
        <v>0</v>
      </c>
      <c r="AE55" s="99"/>
      <c r="AF55" s="99"/>
      <c r="AG55" s="99"/>
      <c r="AH55" s="99"/>
      <c r="AI55" s="99"/>
      <c r="AJ55" s="40"/>
      <c r="AK55" s="33"/>
    </row>
    <row r="56" spans="1:37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</row>
    <row r="57" spans="1:37">
      <c r="A57" s="41" t="s">
        <v>928</v>
      </c>
      <c r="B57" s="42"/>
      <c r="C57" s="42"/>
      <c r="D57" s="42"/>
      <c r="E57" s="42"/>
      <c r="F57" s="42"/>
      <c r="G57" s="42"/>
      <c r="H57" s="42"/>
      <c r="I57" s="42"/>
      <c r="J57" s="42"/>
      <c r="K57" s="89">
        <f ca="1">'rozvaha-tisk'!K45:AH45</f>
        <v>41045</v>
      </c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33"/>
      <c r="AJ57" s="33"/>
      <c r="AK57" s="33"/>
    </row>
    <row r="58" spans="1:37">
      <c r="A58" s="41" t="s">
        <v>911</v>
      </c>
      <c r="B58" s="42"/>
      <c r="C58" s="42"/>
      <c r="D58" s="42"/>
      <c r="E58" s="42"/>
      <c r="F58" s="42"/>
      <c r="G58" s="42"/>
      <c r="H58" s="42"/>
      <c r="I58" s="42"/>
      <c r="J58" s="42"/>
      <c r="K58" s="89" t="str">
        <f>'rozvaha-tisk'!K46:AH46</f>
        <v>akciová společnost</v>
      </c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42"/>
      <c r="AJ58" s="33"/>
      <c r="AK58" s="33"/>
    </row>
    <row r="59" spans="1:37">
      <c r="A59" s="41" t="s">
        <v>929</v>
      </c>
      <c r="B59" s="42"/>
      <c r="C59" s="42"/>
      <c r="D59" s="42"/>
      <c r="E59" s="42"/>
      <c r="F59" s="42"/>
      <c r="G59" s="42"/>
      <c r="H59" s="42"/>
      <c r="I59" s="42"/>
      <c r="J59" s="42"/>
      <c r="K59" s="89" t="str">
        <f>'rozvaha-tisk'!K47:AH47</f>
        <v>Poradenství pro IT, dopravu a udržitelný rozvoj</v>
      </c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42"/>
      <c r="AJ59" s="33"/>
      <c r="AK59" s="33"/>
    </row>
    <row r="60" spans="1:37">
      <c r="A60" s="91" t="s">
        <v>930</v>
      </c>
      <c r="B60" s="92"/>
      <c r="C60" s="92"/>
      <c r="D60" s="92"/>
      <c r="E60" s="92"/>
      <c r="F60" s="92"/>
      <c r="G60" s="92"/>
      <c r="H60" s="37"/>
      <c r="I60" s="37"/>
      <c r="J60" s="37"/>
      <c r="K60" s="89" t="str">
        <f>'rozvaha-tisk'!K48:AH48</f>
        <v>(zasláno a ověřeno datovou schránkou)</v>
      </c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37"/>
      <c r="AJ60" s="33"/>
      <c r="AK60" s="33"/>
    </row>
  </sheetData>
  <mergeCells count="234">
    <mergeCell ref="Z5:AI5"/>
    <mergeCell ref="N6:V6"/>
    <mergeCell ref="Z6:AI6"/>
    <mergeCell ref="M7:W7"/>
    <mergeCell ref="Z7:AI7"/>
    <mergeCell ref="M2:W2"/>
    <mergeCell ref="Z2:AI2"/>
    <mergeCell ref="M3:W3"/>
    <mergeCell ref="Z3:AI3"/>
    <mergeCell ref="N4:V4"/>
    <mergeCell ref="Z4:AI4"/>
    <mergeCell ref="A13:C14"/>
    <mergeCell ref="D13:U14"/>
    <mergeCell ref="V13:W14"/>
    <mergeCell ref="X13:AI13"/>
    <mergeCell ref="X14:AC14"/>
    <mergeCell ref="AD14:AI14"/>
    <mergeCell ref="M8:W8"/>
    <mergeCell ref="Z8:AI8"/>
    <mergeCell ref="Z9:AI9"/>
    <mergeCell ref="Z10:AI10"/>
    <mergeCell ref="Z11:AI11"/>
    <mergeCell ref="A12:AJ12"/>
    <mergeCell ref="A15:C15"/>
    <mergeCell ref="D15:U15"/>
    <mergeCell ref="V15:W15"/>
    <mergeCell ref="X15:AC15"/>
    <mergeCell ref="AD15:AI15"/>
    <mergeCell ref="A16:C16"/>
    <mergeCell ref="D16:U16"/>
    <mergeCell ref="V16:W16"/>
    <mergeCell ref="X16:AC16"/>
    <mergeCell ref="AD16:AI16"/>
    <mergeCell ref="A17:C17"/>
    <mergeCell ref="D17:U17"/>
    <mergeCell ref="V17:W17"/>
    <mergeCell ref="X17:AC17"/>
    <mergeCell ref="AD17:AI17"/>
    <mergeCell ref="A18:C18"/>
    <mergeCell ref="D18:U18"/>
    <mergeCell ref="V18:W18"/>
    <mergeCell ref="X18:AC18"/>
    <mergeCell ref="AD18:AI18"/>
    <mergeCell ref="A19:C19"/>
    <mergeCell ref="D19:U19"/>
    <mergeCell ref="V19:W19"/>
    <mergeCell ref="X19:AC19"/>
    <mergeCell ref="AD19:AI19"/>
    <mergeCell ref="A20:C20"/>
    <mergeCell ref="D20:U20"/>
    <mergeCell ref="V20:W20"/>
    <mergeCell ref="X20:AC20"/>
    <mergeCell ref="AD20:AI20"/>
    <mergeCell ref="A21:C21"/>
    <mergeCell ref="D21:U21"/>
    <mergeCell ref="V21:W21"/>
    <mergeCell ref="X21:AC21"/>
    <mergeCell ref="AD21:AI21"/>
    <mergeCell ref="A22:C22"/>
    <mergeCell ref="D22:U22"/>
    <mergeCell ref="V22:W22"/>
    <mergeCell ref="X22:AC22"/>
    <mergeCell ref="AD22:AI22"/>
    <mergeCell ref="A23:C23"/>
    <mergeCell ref="D23:U23"/>
    <mergeCell ref="V23:W23"/>
    <mergeCell ref="X23:AC23"/>
    <mergeCell ref="AD23:AI23"/>
    <mergeCell ref="A24:C24"/>
    <mergeCell ref="D24:U24"/>
    <mergeCell ref="V24:W24"/>
    <mergeCell ref="X24:AC24"/>
    <mergeCell ref="AD24:AI24"/>
    <mergeCell ref="A25:C25"/>
    <mergeCell ref="D25:U25"/>
    <mergeCell ref="V25:W25"/>
    <mergeCell ref="X25:AC25"/>
    <mergeCell ref="AD25:AI25"/>
    <mergeCell ref="A26:C26"/>
    <mergeCell ref="D26:U26"/>
    <mergeCell ref="V26:W26"/>
    <mergeCell ref="X26:AC26"/>
    <mergeCell ref="AD26:AI26"/>
    <mergeCell ref="A27:C27"/>
    <mergeCell ref="D27:U27"/>
    <mergeCell ref="V27:W27"/>
    <mergeCell ref="X27:AC27"/>
    <mergeCell ref="AD27:AI27"/>
    <mergeCell ref="A28:C28"/>
    <mergeCell ref="D28:U28"/>
    <mergeCell ref="V28:W28"/>
    <mergeCell ref="X28:AC28"/>
    <mergeCell ref="AD28:AI28"/>
    <mergeCell ref="A29:C29"/>
    <mergeCell ref="D29:U29"/>
    <mergeCell ref="V29:W29"/>
    <mergeCell ref="X29:AC29"/>
    <mergeCell ref="AD29:AI29"/>
    <mergeCell ref="A30:C30"/>
    <mergeCell ref="D30:U30"/>
    <mergeCell ref="V30:W30"/>
    <mergeCell ref="X30:AC30"/>
    <mergeCell ref="AD30:AI30"/>
    <mergeCell ref="A31:C31"/>
    <mergeCell ref="D31:U31"/>
    <mergeCell ref="V31:W31"/>
    <mergeCell ref="X31:AC31"/>
    <mergeCell ref="AD31:AI31"/>
    <mergeCell ref="A32:C32"/>
    <mergeCell ref="D32:U32"/>
    <mergeCell ref="V32:W32"/>
    <mergeCell ref="X32:AC32"/>
    <mergeCell ref="AD32:AI32"/>
    <mergeCell ref="A33:C33"/>
    <mergeCell ref="D33:U33"/>
    <mergeCell ref="V33:W33"/>
    <mergeCell ref="X33:AC33"/>
    <mergeCell ref="AD33:AI33"/>
    <mergeCell ref="A34:C34"/>
    <mergeCell ref="D34:U34"/>
    <mergeCell ref="V34:W34"/>
    <mergeCell ref="X34:AC34"/>
    <mergeCell ref="AD34:AI34"/>
    <mergeCell ref="A36:C36"/>
    <mergeCell ref="D36:U36"/>
    <mergeCell ref="V36:W36"/>
    <mergeCell ref="X36:AC36"/>
    <mergeCell ref="AD36:AI36"/>
    <mergeCell ref="A35:C35"/>
    <mergeCell ref="D35:U35"/>
    <mergeCell ref="V35:W35"/>
    <mergeCell ref="X35:AC35"/>
    <mergeCell ref="AD35:AI35"/>
    <mergeCell ref="A37:C37"/>
    <mergeCell ref="D37:U37"/>
    <mergeCell ref="V37:W37"/>
    <mergeCell ref="X37:AC37"/>
    <mergeCell ref="AD37:AI37"/>
    <mergeCell ref="A38:C38"/>
    <mergeCell ref="D38:U38"/>
    <mergeCell ref="V38:W38"/>
    <mergeCell ref="X38:AC38"/>
    <mergeCell ref="AD38:AI38"/>
    <mergeCell ref="A39:C39"/>
    <mergeCell ref="D39:U39"/>
    <mergeCell ref="V39:W39"/>
    <mergeCell ref="X39:AC39"/>
    <mergeCell ref="AD39:AI39"/>
    <mergeCell ref="A40:C40"/>
    <mergeCell ref="D40:U40"/>
    <mergeCell ref="V40:W40"/>
    <mergeCell ref="X40:AC40"/>
    <mergeCell ref="AD40:AI40"/>
    <mergeCell ref="A41:C41"/>
    <mergeCell ref="D41:U41"/>
    <mergeCell ref="V41:W41"/>
    <mergeCell ref="X41:AC41"/>
    <mergeCell ref="AD41:AI41"/>
    <mergeCell ref="A42:C42"/>
    <mergeCell ref="D42:U42"/>
    <mergeCell ref="V42:W42"/>
    <mergeCell ref="X42:AC42"/>
    <mergeCell ref="AD42:AI42"/>
    <mergeCell ref="A43:C43"/>
    <mergeCell ref="D43:U43"/>
    <mergeCell ref="V43:W43"/>
    <mergeCell ref="X43:AC43"/>
    <mergeCell ref="AD43:AI43"/>
    <mergeCell ref="A44:C44"/>
    <mergeCell ref="D44:U44"/>
    <mergeCell ref="V44:W44"/>
    <mergeCell ref="X44:AC44"/>
    <mergeCell ref="AD44:AI44"/>
    <mergeCell ref="A45:C45"/>
    <mergeCell ref="D45:U45"/>
    <mergeCell ref="V45:W45"/>
    <mergeCell ref="X45:AC45"/>
    <mergeCell ref="AD45:AI45"/>
    <mergeCell ref="A46:C46"/>
    <mergeCell ref="D46:U46"/>
    <mergeCell ref="V46:W46"/>
    <mergeCell ref="X46:AC46"/>
    <mergeCell ref="AD46:AI46"/>
    <mergeCell ref="A47:C47"/>
    <mergeCell ref="D47:U47"/>
    <mergeCell ref="V47:W47"/>
    <mergeCell ref="X47:AC47"/>
    <mergeCell ref="AD47:AI47"/>
    <mergeCell ref="A48:C48"/>
    <mergeCell ref="D48:U48"/>
    <mergeCell ref="V48:W48"/>
    <mergeCell ref="X48:AC48"/>
    <mergeCell ref="AD48:AI48"/>
    <mergeCell ref="X51:AC51"/>
    <mergeCell ref="AD51:AI51"/>
    <mergeCell ref="A52:C52"/>
    <mergeCell ref="D52:U52"/>
    <mergeCell ref="V52:W52"/>
    <mergeCell ref="X52:AC52"/>
    <mergeCell ref="AD52:AI52"/>
    <mergeCell ref="A49:C49"/>
    <mergeCell ref="D49:U49"/>
    <mergeCell ref="V49:W49"/>
    <mergeCell ref="X49:AC49"/>
    <mergeCell ref="AD49:AI49"/>
    <mergeCell ref="A50:C50"/>
    <mergeCell ref="D50:U50"/>
    <mergeCell ref="V50:W50"/>
    <mergeCell ref="X50:AC50"/>
    <mergeCell ref="AD50:AI50"/>
    <mergeCell ref="K58:AH58"/>
    <mergeCell ref="K59:AH59"/>
    <mergeCell ref="A60:G60"/>
    <mergeCell ref="K60:AH60"/>
    <mergeCell ref="E5:W5"/>
    <mergeCell ref="A55:C55"/>
    <mergeCell ref="D55:U55"/>
    <mergeCell ref="V55:W55"/>
    <mergeCell ref="X55:AC55"/>
    <mergeCell ref="AD55:AI55"/>
    <mergeCell ref="K57:AH57"/>
    <mergeCell ref="A53:C53"/>
    <mergeCell ref="D53:U53"/>
    <mergeCell ref="V53:W53"/>
    <mergeCell ref="X53:AC53"/>
    <mergeCell ref="AD53:AI53"/>
    <mergeCell ref="A54:C54"/>
    <mergeCell ref="D54:U54"/>
    <mergeCell ref="V54:W54"/>
    <mergeCell ref="X54:AC54"/>
    <mergeCell ref="AD54:AI54"/>
    <mergeCell ref="A51:C51"/>
    <mergeCell ref="D51:U51"/>
    <mergeCell ref="V51:W51"/>
  </mergeCells>
  <pageMargins left="0.35" right="0.27" top="0.49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obrat_syntetických_účtů</vt:lpstr>
      <vt:lpstr>obrat_analytických_účtů</vt:lpstr>
      <vt:lpstr>účty</vt:lpstr>
      <vt:lpstr>Rozvaha</vt:lpstr>
      <vt:lpstr>Rozvaha-zj</vt:lpstr>
      <vt:lpstr>VKZS</vt:lpstr>
      <vt:lpstr>VZS-zj</vt:lpstr>
      <vt:lpstr>rozvaha-tisk</vt:lpstr>
      <vt:lpstr>výkaz-tisk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golf</dc:creator>
  <cp:lastModifiedBy>golf</cp:lastModifiedBy>
  <cp:lastPrinted>2012-05-16T13:48:45Z</cp:lastPrinted>
  <dcterms:created xsi:type="dcterms:W3CDTF">2012-05-15T18:45:04Z</dcterms:created>
  <dcterms:modified xsi:type="dcterms:W3CDTF">2012-05-16T14:28:32Z</dcterms:modified>
</cp:coreProperties>
</file>