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hidePivotFieldList="1" defaultThemeVersion="124226"/>
  <bookViews>
    <workbookView xWindow="-4305" yWindow="-90" windowWidth="9075" windowHeight="5400" activeTab="2"/>
  </bookViews>
  <sheets>
    <sheet name="Kalkulator" sheetId="4" r:id="rId1"/>
    <sheet name="Pricing" sheetId="12" state="hidden" r:id="rId2"/>
    <sheet name="Ponuda1M" sheetId="6" r:id="rId3"/>
    <sheet name="Offer" sheetId="11" state="hidden" r:id="rId4"/>
    <sheet name="PONUDA3Mili6M" sheetId="15" r:id="rId5"/>
    <sheet name="Plan otplate 1M" sheetId="13" r:id="rId6"/>
    <sheet name="Planotplate3M6M" sheetId="16" r:id="rId7"/>
    <sheet name="MARKET VALUE" sheetId="14" state="hidden" r:id="rId8"/>
    <sheet name="PDV tabela" sheetId="9" state="hidden" r:id="rId9"/>
    <sheet name="Sheet1" sheetId="17" r:id="rId10"/>
  </sheets>
  <externalReferences>
    <externalReference r:id="rId11"/>
    <externalReference r:id="rId12"/>
  </externalReferences>
  <definedNames>
    <definedName name="_xlnm._FilterDatabase" localSheetId="2" hidden="1">Ponuda1M!$A$48:$M$51</definedName>
    <definedName name="Tabela1" localSheetId="8">'PDV tabela'!#REF!</definedName>
    <definedName name="Tabela1" localSheetId="5">[1]Calculator!#REF!</definedName>
    <definedName name="Tabela1" localSheetId="6">[1]Calculator!#REF!</definedName>
    <definedName name="Tabela1" localSheetId="4">[2]Kalkulator!#REF!</definedName>
    <definedName name="Tabela1">Kalkulator!#REF!</definedName>
  </definedNames>
  <calcPr calcId="125725"/>
</workbook>
</file>

<file path=xl/calcChain.xml><?xml version="1.0" encoding="utf-8"?>
<calcChain xmlns="http://schemas.openxmlformats.org/spreadsheetml/2006/main">
  <c r="C36" i="12"/>
  <c r="K33" i="4" s="1"/>
  <c r="L3" i="15"/>
  <c r="A108"/>
  <c r="A114" i="6"/>
  <c r="F94" i="4"/>
  <c r="K7"/>
  <c r="D5" i="14"/>
  <c r="B21" s="1"/>
  <c r="B10" l="1"/>
  <c r="B12"/>
  <c r="B15"/>
  <c r="B17"/>
  <c r="B19"/>
  <c r="B22"/>
  <c r="B9"/>
  <c r="B11"/>
  <c r="B13"/>
  <c r="B16"/>
  <c r="B18"/>
  <c r="B20"/>
  <c r="D3"/>
  <c r="J10" i="16"/>
  <c r="J9"/>
  <c r="A48" i="15"/>
  <c r="H30"/>
  <c r="I5" i="16" l="1"/>
  <c r="H43" i="15"/>
  <c r="K97" i="4"/>
  <c r="E8" i="15"/>
  <c r="E7"/>
  <c r="K47"/>
  <c r="F47"/>
  <c r="E47"/>
  <c r="D42"/>
  <c r="D10" l="1"/>
  <c r="D12"/>
  <c r="D13"/>
  <c r="D14"/>
  <c r="D15"/>
  <c r="D16"/>
  <c r="H17"/>
  <c r="H20"/>
  <c r="H18" s="1"/>
  <c r="H25"/>
  <c r="D34"/>
  <c r="H46"/>
  <c r="K99" i="4"/>
  <c r="K100" s="1"/>
  <c r="E8" i="6"/>
  <c r="H23" i="15" l="1"/>
  <c r="J24" s="1"/>
  <c r="K101" i="4"/>
  <c r="D14" i="6"/>
  <c r="D29"/>
  <c r="D36"/>
  <c r="D48"/>
  <c r="C8" i="12"/>
  <c r="F60" i="4" s="1"/>
  <c r="H39" i="6" s="1"/>
  <c r="H40" s="1"/>
  <c r="F7" i="12"/>
  <c r="H6" i="16" l="1"/>
  <c r="I6"/>
  <c r="G6"/>
  <c r="F8" i="12"/>
  <c r="F9"/>
  <c r="F10"/>
  <c r="F11"/>
  <c r="A54" i="6"/>
  <c r="K11" i="4"/>
  <c r="H47" i="15" s="1"/>
  <c r="C19" i="4"/>
  <c r="F36" s="1"/>
  <c r="H53" i="6"/>
  <c r="E53"/>
  <c r="F53"/>
  <c r="K53"/>
  <c r="K5" i="4"/>
  <c r="F47"/>
  <c r="D4" i="14"/>
  <c r="B14"/>
  <c r="G6" i="13"/>
  <c r="J9"/>
  <c r="I5" s="1"/>
  <c r="F46" i="4"/>
  <c r="D12" i="6"/>
  <c r="D10"/>
  <c r="D15"/>
  <c r="D16"/>
  <c r="C9" i="9"/>
  <c r="F63" i="4"/>
  <c r="H49" i="6" s="1"/>
  <c r="J22" i="4"/>
  <c r="D6" i="13"/>
  <c r="D32" i="11"/>
  <c r="J10" i="13"/>
  <c r="D12" i="11"/>
  <c r="D15"/>
  <c r="D16"/>
  <c r="D14"/>
  <c r="E8"/>
  <c r="E7"/>
  <c r="E7" i="6"/>
  <c r="L5" i="11"/>
  <c r="H22"/>
  <c r="D35"/>
  <c r="H35"/>
  <c r="H23" i="6"/>
  <c r="H23" i="11"/>
  <c r="H24" i="6"/>
  <c r="F35" i="4" l="1"/>
  <c r="H12" i="6" s="1"/>
  <c r="H10" i="11"/>
  <c r="H11" s="1"/>
  <c r="H39"/>
  <c r="C10" i="14"/>
  <c r="D5" i="13"/>
  <c r="C17" i="14"/>
  <c r="D36" i="4"/>
  <c r="F57"/>
  <c r="C18" i="14"/>
  <c r="L43" i="4"/>
  <c r="F34"/>
  <c r="H10" i="6"/>
  <c r="C22" i="14"/>
  <c r="C14"/>
  <c r="C13"/>
  <c r="F40" i="4"/>
  <c r="Q40" s="1"/>
  <c r="C21" i="14"/>
  <c r="C11"/>
  <c r="C15"/>
  <c r="C12"/>
  <c r="C20"/>
  <c r="C9"/>
  <c r="C19"/>
  <c r="C16"/>
  <c r="H15" i="11"/>
  <c r="F54" i="4"/>
  <c r="H15" i="6"/>
  <c r="L2"/>
  <c r="F38" i="4" l="1"/>
  <c r="H14" i="11" s="1"/>
  <c r="H24" s="1"/>
  <c r="H12"/>
  <c r="H14" i="6"/>
  <c r="H29" s="1"/>
  <c r="H37"/>
  <c r="H38" s="1"/>
  <c r="H35" i="15"/>
  <c r="H11" i="6"/>
  <c r="H10" i="15"/>
  <c r="H25" i="6"/>
  <c r="H15" i="15"/>
  <c r="C27" i="12"/>
  <c r="H12" i="15"/>
  <c r="P44" i="4"/>
  <c r="Q44" s="1"/>
  <c r="Q45" s="1"/>
  <c r="K25" s="1"/>
  <c r="P46"/>
  <c r="Q46" s="1"/>
  <c r="Q47" s="1"/>
  <c r="K26" s="1"/>
  <c r="P42"/>
  <c r="Q42" s="1"/>
  <c r="Q43" s="1"/>
  <c r="B27" i="12"/>
  <c r="D27"/>
  <c r="F39" i="4"/>
  <c r="H16" i="6" s="1"/>
  <c r="L42" i="4"/>
  <c r="L45"/>
  <c r="H18" i="6"/>
  <c r="G5" i="16" s="1"/>
  <c r="I7" s="1"/>
  <c r="F48" i="4"/>
  <c r="F95" s="1"/>
  <c r="H31" i="11"/>
  <c r="H35" i="6"/>
  <c r="F15" i="11"/>
  <c r="F15" i="6"/>
  <c r="B28" i="12" l="1"/>
  <c r="C28" s="1"/>
  <c r="B32"/>
  <c r="D39" i="4"/>
  <c r="H14" i="15"/>
  <c r="C28" i="16"/>
  <c r="C29"/>
  <c r="C27"/>
  <c r="C26"/>
  <c r="C25"/>
  <c r="C23"/>
  <c r="C24"/>
  <c r="C22"/>
  <c r="D10"/>
  <c r="F9"/>
  <c r="H11" i="15"/>
  <c r="D5" i="16"/>
  <c r="C19"/>
  <c r="C15"/>
  <c r="C11"/>
  <c r="C20"/>
  <c r="C16"/>
  <c r="C12"/>
  <c r="C21"/>
  <c r="C17"/>
  <c r="C13"/>
  <c r="C18"/>
  <c r="C14"/>
  <c r="C10"/>
  <c r="H26" i="15"/>
  <c r="H33"/>
  <c r="H21"/>
  <c r="H28" s="1"/>
  <c r="H29" s="1"/>
  <c r="F99" i="4" s="1"/>
  <c r="F96"/>
  <c r="F97" s="1"/>
  <c r="B29" i="12"/>
  <c r="B30" s="1"/>
  <c r="B31" s="1"/>
  <c r="B34" s="1"/>
  <c r="F15" i="15"/>
  <c r="D6" i="16" s="1"/>
  <c r="F16" i="6"/>
  <c r="F16" i="15" s="1"/>
  <c r="H16"/>
  <c r="H16" i="11"/>
  <c r="C89" i="13"/>
  <c r="C81"/>
  <c r="C78"/>
  <c r="C88"/>
  <c r="C93"/>
  <c r="C82"/>
  <c r="C74"/>
  <c r="C92"/>
  <c r="C71"/>
  <c r="C76"/>
  <c r="C90"/>
  <c r="C86"/>
  <c r="C87"/>
  <c r="C91"/>
  <c r="C70"/>
  <c r="C77"/>
  <c r="C84"/>
  <c r="C79"/>
  <c r="C75"/>
  <c r="C85"/>
  <c r="C80"/>
  <c r="C72"/>
  <c r="C83"/>
  <c r="D9" i="11"/>
  <c r="C32" i="16" l="1"/>
  <c r="E10"/>
  <c r="F10" s="1"/>
  <c r="O37" i="15"/>
  <c r="H42" s="1"/>
  <c r="F100" i="4" s="1"/>
  <c r="D13" i="11"/>
  <c r="D13" i="6"/>
  <c r="D11" i="16" l="1"/>
  <c r="E11" s="1"/>
  <c r="F11" s="1"/>
  <c r="D12" s="1"/>
  <c r="E12" l="1"/>
  <c r="F12" s="1"/>
  <c r="D13" l="1"/>
  <c r="E13" s="1"/>
  <c r="F13" s="1"/>
  <c r="D14" s="1"/>
  <c r="E14" l="1"/>
  <c r="F14" s="1"/>
  <c r="D15" s="1"/>
  <c r="E15" l="1"/>
  <c r="F15" s="1"/>
  <c r="D16" s="1"/>
  <c r="E16" l="1"/>
  <c r="F16" s="1"/>
  <c r="D17" s="1"/>
  <c r="E17" l="1"/>
  <c r="F17" s="1"/>
  <c r="D18" s="1"/>
  <c r="E18" l="1"/>
  <c r="F18" s="1"/>
  <c r="D19" s="1"/>
  <c r="E19" l="1"/>
  <c r="F19" s="1"/>
  <c r="D20" s="1"/>
  <c r="E20" l="1"/>
  <c r="F20" l="1"/>
  <c r="D21" s="1"/>
  <c r="E21" l="1"/>
  <c r="F21" l="1"/>
  <c r="D22" l="1"/>
  <c r="E22" s="1"/>
  <c r="F22" l="1"/>
  <c r="D23" s="1"/>
  <c r="E23" l="1"/>
  <c r="F23" l="1"/>
  <c r="D24" s="1"/>
  <c r="E24" l="1"/>
  <c r="F24" l="1"/>
  <c r="D25" l="1"/>
  <c r="E25" s="1"/>
  <c r="F25" l="1"/>
  <c r="D26" l="1"/>
  <c r="E26" l="1"/>
  <c r="F26" l="1"/>
  <c r="D27" l="1"/>
  <c r="E27" l="1"/>
  <c r="F27" l="1"/>
  <c r="D28" s="1"/>
  <c r="E28" l="1"/>
  <c r="F28" l="1"/>
  <c r="D29" s="1"/>
  <c r="E29" l="1"/>
  <c r="D32"/>
  <c r="E32" l="1"/>
  <c r="F29"/>
  <c r="F32"/>
  <c r="D82" i="13" l="1"/>
  <c r="E82" s="1"/>
  <c r="F82"/>
  <c r="D83" l="1"/>
  <c r="E83" s="1"/>
  <c r="F83" s="1"/>
  <c r="D84" l="1"/>
  <c r="E84" s="1"/>
  <c r="F84" s="1"/>
  <c r="D85" l="1"/>
  <c r="E85" s="1"/>
  <c r="F85" s="1"/>
  <c r="D86" l="1"/>
  <c r="E86" s="1"/>
  <c r="F86" s="1"/>
  <c r="D87" l="1"/>
  <c r="E87" s="1"/>
  <c r="F87" s="1"/>
  <c r="D21" i="14" l="1"/>
  <c r="D88" i="13"/>
  <c r="E88" s="1"/>
  <c r="F88" s="1"/>
  <c r="D89" l="1"/>
  <c r="E89" s="1"/>
  <c r="F89" s="1"/>
  <c r="D90" l="1"/>
  <c r="E90" s="1"/>
  <c r="F90" s="1"/>
  <c r="D91" l="1"/>
  <c r="E91" s="1"/>
  <c r="F91" s="1"/>
  <c r="D92" l="1"/>
  <c r="E92" s="1"/>
  <c r="F92" s="1"/>
  <c r="D93" l="1"/>
  <c r="E93" s="1"/>
  <c r="F93" s="1"/>
  <c r="D22" i="14" s="1"/>
  <c r="D70" i="13" l="1"/>
  <c r="E70" l="1"/>
  <c r="F70" l="1"/>
  <c r="D71" s="1"/>
  <c r="E71" s="1"/>
  <c r="F71" s="1"/>
  <c r="D72" s="1"/>
  <c r="E72" l="1"/>
  <c r="F72" l="1"/>
  <c r="D73" s="1"/>
  <c r="F74" l="1"/>
  <c r="D75" s="1"/>
  <c r="E75" s="1"/>
  <c r="F75" s="1"/>
  <c r="D19" i="14" s="1"/>
  <c r="D76" i="13" l="1"/>
  <c r="E76" s="1"/>
  <c r="F77" l="1"/>
  <c r="D78" s="1"/>
  <c r="E78" l="1"/>
  <c r="F78" l="1"/>
  <c r="D79" s="1"/>
  <c r="E79" l="1"/>
  <c r="F79" l="1"/>
  <c r="D80" s="1"/>
  <c r="E80" l="1"/>
  <c r="F80" l="1"/>
  <c r="D81" s="1"/>
  <c r="E81" l="1"/>
  <c r="F81" l="1"/>
  <c r="F95" l="1"/>
  <c r="D20" i="14"/>
  <c r="K29" i="4"/>
  <c r="B33" i="12" l="1"/>
  <c r="C33" l="1"/>
  <c r="K31" i="4" s="1"/>
  <c r="K30"/>
  <c r="D77" i="13"/>
  <c r="E77" s="1"/>
  <c r="C73"/>
  <c r="E73" s="1"/>
  <c r="F73"/>
  <c r="D74"/>
  <c r="E74"/>
  <c r="E20" i="9"/>
  <c r="E19"/>
  <c r="E17"/>
  <c r="E18"/>
  <c r="G5" i="13"/>
  <c r="I7" s="1"/>
  <c r="D10" s="1"/>
  <c r="F44" i="4"/>
  <c r="F9" i="13" l="1"/>
  <c r="C23"/>
  <c r="C21"/>
  <c r="C22"/>
  <c r="C31"/>
  <c r="C33"/>
  <c r="C55"/>
  <c r="C57"/>
  <c r="C66"/>
  <c r="C67"/>
  <c r="C68"/>
  <c r="C10"/>
  <c r="C24"/>
  <c r="C25"/>
  <c r="C26"/>
  <c r="C27"/>
  <c r="C28"/>
  <c r="C35"/>
  <c r="C36"/>
  <c r="C37"/>
  <c r="C38"/>
  <c r="C39"/>
  <c r="C40"/>
  <c r="C48"/>
  <c r="C49"/>
  <c r="C50"/>
  <c r="C51"/>
  <c r="C52"/>
  <c r="C59"/>
  <c r="C60"/>
  <c r="C61"/>
  <c r="C62"/>
  <c r="C63"/>
  <c r="C64"/>
  <c r="C11"/>
  <c r="C16"/>
  <c r="C17"/>
  <c r="C18"/>
  <c r="C32"/>
  <c r="C41"/>
  <c r="C42"/>
  <c r="C56"/>
  <c r="C69"/>
  <c r="F50" i="4"/>
  <c r="C12" i="13"/>
  <c r="C47"/>
  <c r="H20" i="11"/>
  <c r="H18" s="1"/>
  <c r="H21" i="6"/>
  <c r="K23" i="4" s="1"/>
  <c r="F42"/>
  <c r="F56" s="1"/>
  <c r="C19" i="13"/>
  <c r="C43"/>
  <c r="C45"/>
  <c r="C46"/>
  <c r="C13"/>
  <c r="C14"/>
  <c r="C15"/>
  <c r="F41" i="4"/>
  <c r="C20" i="13"/>
  <c r="C29"/>
  <c r="C30"/>
  <c r="C34"/>
  <c r="C44"/>
  <c r="C53"/>
  <c r="C54"/>
  <c r="C58"/>
  <c r="C65"/>
  <c r="H26" i="11" l="1"/>
  <c r="H27" i="6"/>
  <c r="F51" i="4"/>
  <c r="M28"/>
  <c r="L28"/>
  <c r="K24"/>
  <c r="H17" i="6"/>
  <c r="H17" i="11"/>
  <c r="H32" i="6"/>
  <c r="H41"/>
  <c r="H33" i="11"/>
  <c r="H28"/>
  <c r="C95" i="13"/>
  <c r="E10"/>
  <c r="L53" i="4"/>
  <c r="L52"/>
  <c r="F64" s="1"/>
  <c r="H51" i="6" l="1"/>
  <c r="H45" i="15" s="1"/>
  <c r="H40" i="11"/>
  <c r="H27"/>
  <c r="H28" i="6"/>
  <c r="L44" i="4"/>
  <c r="C8" i="9"/>
  <c r="L55" i="4"/>
  <c r="L54"/>
  <c r="F10" i="13"/>
  <c r="H42" i="6"/>
  <c r="H36" i="15"/>
  <c r="D11" i="13" l="1"/>
  <c r="E16" i="9"/>
  <c r="B16"/>
  <c r="B18"/>
  <c r="B19"/>
  <c r="E15"/>
  <c r="E21" s="1"/>
  <c r="B17"/>
  <c r="B15"/>
  <c r="B20"/>
  <c r="O43" i="6"/>
  <c r="H48" s="1"/>
  <c r="H30"/>
  <c r="C15" i="9" l="1"/>
  <c r="B21"/>
  <c r="C18"/>
  <c r="D18"/>
  <c r="F18" s="1"/>
  <c r="C20"/>
  <c r="D20"/>
  <c r="F20" s="1"/>
  <c r="C17"/>
  <c r="D17"/>
  <c r="F17" s="1"/>
  <c r="C19"/>
  <c r="D19" s="1"/>
  <c r="F19" s="1"/>
  <c r="C16"/>
  <c r="D16" s="1"/>
  <c r="F16" s="1"/>
  <c r="E11" i="13"/>
  <c r="F11" l="1"/>
  <c r="C21" i="9"/>
  <c r="D15"/>
  <c r="D21" l="1"/>
  <c r="F15"/>
  <c r="D12" i="13"/>
  <c r="E12" l="1"/>
  <c r="H32" i="11"/>
  <c r="H34" s="1"/>
  <c r="F21" i="9"/>
  <c r="H34" i="15"/>
  <c r="H37" s="1"/>
  <c r="F98" i="4" s="1"/>
  <c r="H36" i="6"/>
  <c r="H43" s="1"/>
  <c r="F55" i="4"/>
  <c r="F58" l="1"/>
  <c r="M26"/>
  <c r="K28"/>
  <c r="F12" i="13"/>
  <c r="D13" l="1"/>
  <c r="M29" i="4"/>
  <c r="K27"/>
  <c r="L29"/>
  <c r="E13" i="13" l="1"/>
  <c r="F13" l="1"/>
  <c r="D14" l="1"/>
  <c r="E14" s="1"/>
  <c r="F14" l="1"/>
  <c r="D15" l="1"/>
  <c r="E15" s="1"/>
  <c r="F15" s="1"/>
  <c r="D9" i="14" l="1"/>
  <c r="D16" i="13"/>
  <c r="E16" s="1"/>
  <c r="F16" s="1"/>
  <c r="D17" l="1"/>
  <c r="E17" s="1"/>
  <c r="F17" s="1"/>
  <c r="D18" l="1"/>
  <c r="E18" s="1"/>
  <c r="F18" s="1"/>
  <c r="D19" l="1"/>
  <c r="E19" s="1"/>
  <c r="F19" s="1"/>
  <c r="D20" l="1"/>
  <c r="E20" s="1"/>
  <c r="F20" s="1"/>
  <c r="D21" l="1"/>
  <c r="E21" s="1"/>
  <c r="F21" s="1"/>
  <c r="D10" i="14" l="1"/>
  <c r="D22" i="13"/>
  <c r="E22" s="1"/>
  <c r="F22" s="1"/>
  <c r="D23" l="1"/>
  <c r="E23" s="1"/>
  <c r="F23" s="1"/>
  <c r="D24" l="1"/>
  <c r="E24" s="1"/>
  <c r="F24" s="1"/>
  <c r="D25" l="1"/>
  <c r="E25" s="1"/>
  <c r="F25" s="1"/>
  <c r="D26" l="1"/>
  <c r="E26" s="1"/>
  <c r="F26" s="1"/>
  <c r="D27" l="1"/>
  <c r="E27" s="1"/>
  <c r="F27" s="1"/>
  <c r="D11" i="14" l="1"/>
  <c r="D28" i="13"/>
  <c r="E28" s="1"/>
  <c r="F28" s="1"/>
  <c r="D29" l="1"/>
  <c r="E29" s="1"/>
  <c r="F29" s="1"/>
  <c r="D30" l="1"/>
  <c r="E30" s="1"/>
  <c r="F30" s="1"/>
  <c r="D31" l="1"/>
  <c r="E31" s="1"/>
  <c r="F31" s="1"/>
  <c r="D32" l="1"/>
  <c r="E32" s="1"/>
  <c r="F32" s="1"/>
  <c r="D33" l="1"/>
  <c r="E33" s="1"/>
  <c r="F33" s="1"/>
  <c r="D34" l="1"/>
  <c r="E34" s="1"/>
  <c r="F34" s="1"/>
  <c r="D12" i="14"/>
  <c r="D35" i="13" l="1"/>
  <c r="E35" s="1"/>
  <c r="F35" s="1"/>
  <c r="D36" l="1"/>
  <c r="E36" s="1"/>
  <c r="F36" s="1"/>
  <c r="D37" l="1"/>
  <c r="E37" s="1"/>
  <c r="F37" s="1"/>
  <c r="D38" l="1"/>
  <c r="E38" s="1"/>
  <c r="F38" s="1"/>
  <c r="D39" l="1"/>
  <c r="E39" s="1"/>
  <c r="F39" s="1"/>
  <c r="D40" l="1"/>
  <c r="E40" s="1"/>
  <c r="F40" s="1"/>
  <c r="D13" i="14"/>
  <c r="D41" i="13" l="1"/>
  <c r="E41" s="1"/>
  <c r="F41" s="1"/>
  <c r="D42" l="1"/>
  <c r="E42" s="1"/>
  <c r="F42" s="1"/>
  <c r="D43" l="1"/>
  <c r="E43" s="1"/>
  <c r="F43" s="1"/>
  <c r="D44" l="1"/>
  <c r="E44" s="1"/>
  <c r="F44" s="1"/>
  <c r="D45" l="1"/>
  <c r="E45" s="1"/>
  <c r="F45" s="1"/>
  <c r="D14" i="14" l="1"/>
  <c r="D46" i="13"/>
  <c r="E46" s="1"/>
  <c r="F46" s="1"/>
  <c r="D47" l="1"/>
  <c r="E47" s="1"/>
  <c r="F76" s="1"/>
  <c r="F47" l="1"/>
  <c r="D48" l="1"/>
  <c r="E48" s="1"/>
  <c r="F48" s="1"/>
  <c r="D49" l="1"/>
  <c r="E49" s="1"/>
  <c r="F49" s="1"/>
  <c r="D50" l="1"/>
  <c r="E50" s="1"/>
  <c r="F50" s="1"/>
  <c r="D51" l="1"/>
  <c r="E51" s="1"/>
  <c r="F51" s="1"/>
  <c r="D15" i="14" l="1"/>
  <c r="D52" i="13"/>
  <c r="E52" s="1"/>
  <c r="F52" s="1"/>
  <c r="D53" l="1"/>
  <c r="E53" s="1"/>
  <c r="F53" s="1"/>
  <c r="D54" l="1"/>
  <c r="E54" s="1"/>
  <c r="F54" s="1"/>
  <c r="D55" l="1"/>
  <c r="E55" s="1"/>
  <c r="F55" s="1"/>
  <c r="D56" l="1"/>
  <c r="E56" s="1"/>
  <c r="F56" s="1"/>
  <c r="D57" l="1"/>
  <c r="E57" s="1"/>
  <c r="F57" s="1"/>
  <c r="D58" l="1"/>
  <c r="E58" s="1"/>
  <c r="F58" s="1"/>
  <c r="D16" i="14"/>
  <c r="D59" i="13" l="1"/>
  <c r="E59" s="1"/>
  <c r="F59" s="1"/>
  <c r="D60" l="1"/>
  <c r="E60" s="1"/>
  <c r="F60" s="1"/>
  <c r="D61" l="1"/>
  <c r="E61" s="1"/>
  <c r="F61" s="1"/>
  <c r="D62" l="1"/>
  <c r="E62" s="1"/>
  <c r="F62" s="1"/>
  <c r="D63" l="1"/>
  <c r="E63" s="1"/>
  <c r="F63" s="1"/>
  <c r="D64" l="1"/>
  <c r="E64" s="1"/>
  <c r="F64" s="1"/>
  <c r="D17" i="14"/>
  <c r="D65" i="13" l="1"/>
  <c r="E65" s="1"/>
  <c r="F65" s="1"/>
  <c r="D66" l="1"/>
  <c r="E66" s="1"/>
  <c r="F66" s="1"/>
  <c r="D67" l="1"/>
  <c r="E67" s="1"/>
  <c r="F67" s="1"/>
  <c r="D68" l="1"/>
  <c r="E68" s="1"/>
  <c r="F68" s="1"/>
  <c r="D69" l="1"/>
  <c r="E69" l="1"/>
  <c r="D95"/>
  <c r="E95" l="1"/>
  <c r="F69"/>
  <c r="D18" i="14" s="1"/>
</calcChain>
</file>

<file path=xl/comments1.xml><?xml version="1.0" encoding="utf-8"?>
<comments xmlns="http://schemas.openxmlformats.org/spreadsheetml/2006/main">
  <authors>
    <author>pmilenkovic</author>
  </authors>
  <commentList>
    <comment ref="C7" authorId="0">
      <text>
        <r>
          <rPr>
            <b/>
            <sz val="8"/>
            <color indexed="81"/>
            <rFont val="Tahoma"/>
            <family val="2"/>
            <charset val="238"/>
          </rPr>
          <t>UNESITE IME KLIJENTA</t>
        </r>
      </text>
    </comment>
    <comment ref="C9" authorId="0">
      <text>
        <r>
          <rPr>
            <b/>
            <sz val="8"/>
            <color indexed="81"/>
            <rFont val="Tahoma"/>
            <family val="2"/>
            <charset val="238"/>
          </rPr>
          <t>UNESITE MODEL</t>
        </r>
      </text>
    </comment>
  </commentList>
</comments>
</file>

<file path=xl/sharedStrings.xml><?xml version="1.0" encoding="utf-8"?>
<sst xmlns="http://schemas.openxmlformats.org/spreadsheetml/2006/main" count="327" uniqueCount="254">
  <si>
    <t>Informativna ponuda za finansijski lizing</t>
  </si>
  <si>
    <t>Vrsta predmeta:</t>
  </si>
  <si>
    <t>Ukupna kamata:</t>
  </si>
  <si>
    <t>Nabavna cena (bez PDV-a):</t>
  </si>
  <si>
    <t>Ukupan zbir svih rata:</t>
  </si>
  <si>
    <t>Iznos rate:</t>
  </si>
  <si>
    <t>Broj rata (mesečnih):</t>
  </si>
  <si>
    <t>Ostatak vrednosti:</t>
  </si>
  <si>
    <t>Iznos amortizovan kroz rate:</t>
  </si>
  <si>
    <t>Troškovi na početku:</t>
  </si>
  <si>
    <t>Ukupni troškovi na početku:</t>
  </si>
  <si>
    <t>Nominalna kamatna stopa:</t>
  </si>
  <si>
    <t>Efektivna kamatna stopa:</t>
  </si>
  <si>
    <t>Kamata</t>
  </si>
  <si>
    <t>Manipulativni troškovi</t>
  </si>
  <si>
    <t>VAT on purchase price:</t>
  </si>
  <si>
    <t>)</t>
  </si>
  <si>
    <t>(</t>
  </si>
  <si>
    <t>Starting costs:</t>
  </si>
  <si>
    <t xml:space="preserve"> </t>
  </si>
  <si>
    <t>VAT:</t>
  </si>
  <si>
    <t>Nominal interest rate:</t>
  </si>
  <si>
    <t>Efective interest rate:</t>
  </si>
  <si>
    <t>Client name:</t>
  </si>
  <si>
    <t>Asset:</t>
  </si>
  <si>
    <t>Belgrade,</t>
  </si>
  <si>
    <t>Purchase price:</t>
  </si>
  <si>
    <t>Purchase price (without VAT):</t>
  </si>
  <si>
    <t>Down payment - netto:</t>
  </si>
  <si>
    <t>Down payment - brutto price:</t>
  </si>
  <si>
    <t>Netto financing value:</t>
  </si>
  <si>
    <t>Total interests:</t>
  </si>
  <si>
    <t>Total installments:</t>
  </si>
  <si>
    <t>Installment:</t>
  </si>
  <si>
    <t>Number of installments (months):</t>
  </si>
  <si>
    <t>Future value:</t>
  </si>
  <si>
    <t>Depreciated value:</t>
  </si>
  <si>
    <t>Contract value:</t>
  </si>
  <si>
    <t>Management fee:</t>
  </si>
  <si>
    <t>Registration costs:</t>
  </si>
  <si>
    <t>Down payment - netto price:</t>
  </si>
  <si>
    <t>Total starting payments:</t>
  </si>
  <si>
    <t>Credit Bureau costs (individuals only):</t>
  </si>
  <si>
    <t>4 = (2+3)</t>
  </si>
  <si>
    <t>6 = (4+5)</t>
  </si>
  <si>
    <t>Contract interest</t>
  </si>
  <si>
    <t>VAT FINANCING TABLE</t>
  </si>
  <si>
    <t>EFG Leasing a.d., Durmitorska 6L, 11 000 Belgrade, tel: (+381 11) 3637 101, fax: (+381 11) 3637 111, www.efgeurobank.co.yu</t>
  </si>
  <si>
    <t>Effective interest rate:</t>
  </si>
  <si>
    <t>Residual value:</t>
  </si>
  <si>
    <r>
      <t xml:space="preserve">Ukupni PDV </t>
    </r>
    <r>
      <rPr>
        <b/>
        <i/>
        <sz val="10"/>
        <rFont val="Trebuchet MS"/>
        <family val="2"/>
        <charset val="238"/>
      </rPr>
      <t>(Total VAT)</t>
    </r>
    <r>
      <rPr>
        <b/>
        <sz val="10"/>
        <rFont val="Trebuchet MS"/>
        <family val="2"/>
        <charset val="238"/>
      </rPr>
      <t>:</t>
    </r>
  </si>
  <si>
    <r>
      <t xml:space="preserve">Broj PDV rata </t>
    </r>
    <r>
      <rPr>
        <b/>
        <i/>
        <sz val="10"/>
        <rFont val="Trebuchet MS"/>
        <family val="2"/>
        <charset val="238"/>
      </rPr>
      <t>(Number of VAT installments):</t>
    </r>
  </si>
  <si>
    <r>
      <t>UKUPNO</t>
    </r>
    <r>
      <rPr>
        <b/>
        <i/>
        <sz val="10"/>
        <rFont val="Trebuchet MS"/>
        <family val="2"/>
        <charset val="238"/>
      </rPr>
      <t xml:space="preserve"> (TOTAL)</t>
    </r>
  </si>
  <si>
    <r>
      <t xml:space="preserve">Ukupno </t>
    </r>
    <r>
      <rPr>
        <b/>
        <i/>
        <sz val="10"/>
        <rFont val="Trebuchet MS"/>
        <family val="2"/>
        <charset val="238"/>
      </rPr>
      <t>(Total):</t>
    </r>
  </si>
  <si>
    <r>
      <t xml:space="preserve">Interkalarna kamata </t>
    </r>
    <r>
      <rPr>
        <i/>
        <sz val="10"/>
        <rFont val="Trebuchet MS"/>
        <family val="2"/>
        <charset val="238"/>
      </rPr>
      <t>(Intermediary interest)</t>
    </r>
  </si>
  <si>
    <r>
      <t xml:space="preserve">PDV na interkalarnu kamatu </t>
    </r>
    <r>
      <rPr>
        <i/>
        <sz val="10"/>
        <rFont val="Trebuchet MS"/>
        <family val="2"/>
        <charset val="238"/>
      </rPr>
      <t>(VAT on intermediary interest)</t>
    </r>
  </si>
  <si>
    <r>
      <t xml:space="preserve">Ukupna interkalarna kamata </t>
    </r>
    <r>
      <rPr>
        <i/>
        <sz val="10"/>
        <rFont val="Trebuchet MS"/>
        <family val="2"/>
        <charset val="238"/>
      </rPr>
      <t>(Total intermediary interest)</t>
    </r>
  </si>
  <si>
    <r>
      <t>Mesečna rata PDV-a</t>
    </r>
    <r>
      <rPr>
        <i/>
        <sz val="10"/>
        <rFont val="Trebuchet MS"/>
        <family val="2"/>
        <charset val="238"/>
      </rPr>
      <t xml:space="preserve"> (Monthly installment of VAT)</t>
    </r>
  </si>
  <si>
    <t xml:space="preserve">TABELA PDV FINANSIRANJA </t>
  </si>
  <si>
    <t>Down payment (of net price):</t>
  </si>
  <si>
    <t>Base Interest Rate (EFGLBIR): 5%
There is a VAT financing possibility.
Lessee may choose which day of the month the installment is due, the 1st or the 15th of each month.
Lessee shall insure the leased asset for the entire duration of the leasing contract, to an insurance company defined by &amp; in the name of Lessor for the account of the Lessee.
For the period between the time when the leased asset is paid to the supplier &amp; the first installment is due, the Lessee is obliged to pay intermediary interest.
The repayment plan is in EUR and all installments are payable in Dinars - CSD, at the sell rate of Eurobank EFG Belgrade. 
At the end of the leasing contract, the lessee has the option to become legal owner of the leased asset, if he has fully paid off &amp; agrees to pay the residual value plus all fees &amp; taxes - according to Law - related to that transfer of ownership.  
There is a possibility - according to Law - of prepayment before scheduled.
This is a non binding offer, which can easily be adjusted to your needs &amp; is subject to approval by EFG Leasing.
Sincerely, 
EFG Leasing</t>
  </si>
  <si>
    <t>Management &amp; Registration expenses:</t>
  </si>
  <si>
    <t>Učešće (od neto nabavne cene):</t>
  </si>
  <si>
    <t>Manipulativni i troškovi registracije:</t>
  </si>
  <si>
    <t>Naziv klijenta:</t>
  </si>
  <si>
    <t>Vrednost ugovora:</t>
  </si>
  <si>
    <t>COMMERCIAL VEHICLES</t>
  </si>
  <si>
    <t>Individual</t>
  </si>
  <si>
    <t xml:space="preserve">PASSENGER CAR </t>
  </si>
  <si>
    <t>NEW</t>
  </si>
  <si>
    <t>up to 500.000 €</t>
  </si>
  <si>
    <t>USED</t>
  </si>
  <si>
    <t>Novo/polovno</t>
  </si>
  <si>
    <t>Tip opreme</t>
  </si>
  <si>
    <t>Vrsta klijenta</t>
  </si>
  <si>
    <t>INDIVIDUAL</t>
  </si>
  <si>
    <t>TURNOVER UP TO 500.000 €</t>
  </si>
  <si>
    <t>500-3.000.000 €</t>
  </si>
  <si>
    <t>MORE THAN 3.000.000 €</t>
  </si>
  <si>
    <t>more than 3.000.000 €</t>
  </si>
  <si>
    <t>Interest rate:</t>
  </si>
  <si>
    <t>Managment Fee:</t>
  </si>
  <si>
    <t>NOVO</t>
  </si>
  <si>
    <r>
      <t xml:space="preserve">Buduća vrednost </t>
    </r>
    <r>
      <rPr>
        <i/>
        <sz val="10"/>
        <rFont val="Trebuchet MS"/>
        <family val="2"/>
        <charset val="238"/>
      </rPr>
      <t>(Future value)</t>
    </r>
  </si>
  <si>
    <r>
      <t xml:space="preserve">UKUPNO </t>
    </r>
    <r>
      <rPr>
        <b/>
        <i/>
        <sz val="10"/>
        <rFont val="Trebuchet MS"/>
        <family val="2"/>
        <charset val="238"/>
      </rPr>
      <t>(TOTAL)</t>
    </r>
  </si>
  <si>
    <r>
      <t xml:space="preserve">Cena (bez PDV-a) </t>
    </r>
    <r>
      <rPr>
        <b/>
        <i/>
        <sz val="10"/>
        <color indexed="9"/>
        <rFont val="Trebuchet MS"/>
        <family val="2"/>
        <charset val="238"/>
      </rPr>
      <t>(Price (without VAT)):</t>
    </r>
  </si>
  <si>
    <t>novo</t>
  </si>
  <si>
    <t>polovno</t>
  </si>
  <si>
    <r>
      <t xml:space="preserve">Trajanje </t>
    </r>
    <r>
      <rPr>
        <b/>
        <i/>
        <sz val="10"/>
        <color indexed="9"/>
        <rFont val="Trebuchet MS"/>
        <family val="2"/>
        <charset val="238"/>
      </rPr>
      <t>(Duration):</t>
    </r>
  </si>
  <si>
    <r>
      <t xml:space="preserve">Ostatak vrednosti </t>
    </r>
    <r>
      <rPr>
        <b/>
        <i/>
        <sz val="10"/>
        <color indexed="9"/>
        <rFont val="Trebuchet MS"/>
        <family val="2"/>
        <charset val="238"/>
      </rPr>
      <t>(Future Value):</t>
    </r>
  </si>
  <si>
    <r>
      <t xml:space="preserve">Rate PDV-a </t>
    </r>
    <r>
      <rPr>
        <b/>
        <i/>
        <sz val="10"/>
        <color indexed="9"/>
        <rFont val="Trebuchet MS"/>
        <family val="2"/>
        <charset val="238"/>
      </rPr>
      <t>(Installments of VAT):</t>
    </r>
  </si>
  <si>
    <r>
      <t xml:space="preserve">Naziv klijenta </t>
    </r>
    <r>
      <rPr>
        <b/>
        <i/>
        <sz val="10"/>
        <color indexed="9"/>
        <rFont val="Trebuchet MS"/>
        <family val="2"/>
        <charset val="238"/>
      </rPr>
      <t>(Client name):</t>
    </r>
  </si>
  <si>
    <t>kroz lizing rate POLOVNO</t>
  </si>
  <si>
    <t>kroz lizing rate NOVO</t>
  </si>
  <si>
    <t>Financial leasing indicative offer</t>
  </si>
  <si>
    <t>Beograd,</t>
  </si>
  <si>
    <r>
      <t xml:space="preserve">Učešće od cene bez PDV-a </t>
    </r>
    <r>
      <rPr>
        <b/>
        <i/>
        <sz val="10"/>
        <color indexed="9"/>
        <rFont val="Trebuchet MS"/>
        <family val="2"/>
        <charset val="238"/>
      </rPr>
      <t>(Down payment):</t>
    </r>
  </si>
  <si>
    <r>
      <t xml:space="preserve">Cena (sa PDV-om) </t>
    </r>
    <r>
      <rPr>
        <b/>
        <i/>
        <sz val="10"/>
        <color indexed="9"/>
        <rFont val="Trebuchet MS"/>
        <family val="2"/>
        <charset val="238"/>
      </rPr>
      <t>(Price (with VAT)):</t>
    </r>
  </si>
  <si>
    <t>Broj dana PDV finansiranja:</t>
  </si>
  <si>
    <t>POLOVNO-registrovano</t>
  </si>
  <si>
    <t>polovno neregistrovano</t>
  </si>
  <si>
    <t xml:space="preserve">Novo </t>
  </si>
  <si>
    <r>
      <t xml:space="preserve">Valuta </t>
    </r>
    <r>
      <rPr>
        <b/>
        <i/>
        <sz val="10"/>
        <color indexed="9"/>
        <rFont val="Trebuchet MS"/>
        <family val="2"/>
        <charset val="238"/>
      </rPr>
      <t>(Currency):</t>
    </r>
  </si>
  <si>
    <t>EUR</t>
  </si>
  <si>
    <t>CHF</t>
  </si>
  <si>
    <t>POLOVNO-neregistrovano/Teretno</t>
  </si>
  <si>
    <t>LEASING SUBJECT:</t>
  </si>
  <si>
    <t xml:space="preserve">DELIVERY PRICE WITH VAT: </t>
  </si>
  <si>
    <t>MARKET VALUE:</t>
  </si>
  <si>
    <t>OUTSTANDING PRINCIPAL:</t>
  </si>
  <si>
    <t>months:</t>
  </si>
  <si>
    <t>precentage:</t>
  </si>
  <si>
    <t>TYPE OF VEHICLE:</t>
  </si>
  <si>
    <r>
      <t>I</t>
    </r>
    <r>
      <rPr>
        <sz val="10"/>
        <rFont val="Trebuchet MS"/>
        <family val="2"/>
        <charset val="238"/>
      </rPr>
      <t xml:space="preserve"> rata </t>
    </r>
    <r>
      <rPr>
        <i/>
        <sz val="10"/>
        <rFont val="Trebuchet MS"/>
        <family val="2"/>
        <charset val="238"/>
      </rPr>
      <t>(installment) - UZ UČEŠĆE</t>
    </r>
  </si>
  <si>
    <r>
      <t xml:space="preserve">II </t>
    </r>
    <r>
      <rPr>
        <sz val="10"/>
        <rFont val="Trebuchet MS"/>
        <family val="2"/>
        <charset val="238"/>
      </rPr>
      <t xml:space="preserve">rata </t>
    </r>
    <r>
      <rPr>
        <i/>
        <sz val="10"/>
        <rFont val="Trebuchet MS"/>
        <family val="2"/>
        <charset val="238"/>
      </rPr>
      <t>(installment) - 30tog DANA</t>
    </r>
  </si>
  <si>
    <r>
      <t>III</t>
    </r>
    <r>
      <rPr>
        <sz val="10"/>
        <rFont val="Trebuchet MS"/>
        <family val="2"/>
        <charset val="238"/>
      </rPr>
      <t xml:space="preserve"> rata </t>
    </r>
    <r>
      <rPr>
        <i/>
        <sz val="10"/>
        <rFont val="Trebuchet MS"/>
        <family val="2"/>
        <charset val="238"/>
      </rPr>
      <t>(installment) - 60tog DANA</t>
    </r>
  </si>
  <si>
    <r>
      <t>IV</t>
    </r>
    <r>
      <rPr>
        <sz val="10"/>
        <rFont val="Trebuchet MS"/>
        <family val="2"/>
        <charset val="238"/>
      </rPr>
      <t xml:space="preserve"> rata </t>
    </r>
    <r>
      <rPr>
        <i/>
        <sz val="10"/>
        <rFont val="Trebuchet MS"/>
        <family val="2"/>
        <charset val="238"/>
      </rPr>
      <t>(installment) - 90tog DANA</t>
    </r>
  </si>
  <si>
    <r>
      <t>V</t>
    </r>
    <r>
      <rPr>
        <sz val="10"/>
        <rFont val="Trebuchet MS"/>
        <family val="2"/>
        <charset val="238"/>
      </rPr>
      <t xml:space="preserve"> rata </t>
    </r>
    <r>
      <rPr>
        <i/>
        <sz val="10"/>
        <rFont val="Trebuchet MS"/>
        <family val="2"/>
        <charset val="238"/>
      </rPr>
      <t>(installment) - 120tog DANA</t>
    </r>
  </si>
  <si>
    <r>
      <t>VI</t>
    </r>
    <r>
      <rPr>
        <sz val="10"/>
        <rFont val="Trebuchet MS"/>
        <family val="2"/>
        <charset val="238"/>
      </rPr>
      <t xml:space="preserve"> rata </t>
    </r>
    <r>
      <rPr>
        <i/>
        <sz val="10"/>
        <rFont val="Trebuchet MS"/>
        <family val="2"/>
        <charset val="238"/>
      </rPr>
      <t>(installment) - 150tog DANA</t>
    </r>
  </si>
  <si>
    <t>Putničko vozilo ≤ 1000ccm</t>
  </si>
  <si>
    <t>Putničko vozilo &gt;1000ccm ≤1600ccm</t>
  </si>
  <si>
    <r>
      <t xml:space="preserve">Teretno vozilo &gt;2.8t </t>
    </r>
    <r>
      <rPr>
        <sz val="10"/>
        <rFont val="Arial"/>
        <family val="2"/>
        <charset val="238"/>
      </rPr>
      <t>≤</t>
    </r>
    <r>
      <rPr>
        <sz val="10"/>
        <rFont val="Tahoma"/>
        <family val="2"/>
      </rPr>
      <t>5.0</t>
    </r>
  </si>
  <si>
    <t>Teretno vozilo &gt;5.0t ≤7.5t</t>
  </si>
  <si>
    <t>Tertno vozilo &gt;7.5t i tegljači</t>
  </si>
  <si>
    <t>Autobus međumesni i turistički</t>
  </si>
  <si>
    <t>Autobus gradski i prigradski</t>
  </si>
  <si>
    <t>Industrial equipment</t>
  </si>
  <si>
    <t>OPREMA</t>
  </si>
  <si>
    <t>VOZILO</t>
  </si>
  <si>
    <r>
      <t xml:space="preserve">Opis </t>
    </r>
    <r>
      <rPr>
        <b/>
        <i/>
        <sz val="10"/>
        <color indexed="9"/>
        <rFont val="Trebuchet MS"/>
        <family val="2"/>
        <charset val="238"/>
      </rPr>
      <t>(Description):</t>
    </r>
  </si>
  <si>
    <r>
      <t xml:space="preserve">Vrsta </t>
    </r>
    <r>
      <rPr>
        <b/>
        <i/>
        <sz val="10"/>
        <color indexed="9"/>
        <rFont val="Trebuchet MS"/>
        <family val="2"/>
        <charset val="238"/>
      </rPr>
      <t>(Asset):</t>
    </r>
  </si>
  <si>
    <t>PUTNICKO VOZILO</t>
  </si>
  <si>
    <t>KOMERCIJALNO VOZILO</t>
  </si>
  <si>
    <t>POLOVNO</t>
  </si>
  <si>
    <t>+</t>
  </si>
  <si>
    <t>=</t>
  </si>
  <si>
    <t>MARGINA</t>
  </si>
  <si>
    <t>EURIBOR NA MESECE</t>
  </si>
  <si>
    <t>( 3M EURIBOR ) =</t>
  </si>
  <si>
    <t>Iznos neto finansiranja:</t>
  </si>
  <si>
    <t>PDV na kamatu:</t>
  </si>
  <si>
    <t xml:space="preserve">Osnovna kamatna stopa:  Nominalna kamatna stopa ( NKS ):   </t>
  </si>
  <si>
    <t>Prvo plaćanje</t>
  </si>
  <si>
    <t>Ukupna kamata</t>
  </si>
  <si>
    <t>Mesečna rata</t>
  </si>
  <si>
    <t>PDV</t>
  </si>
  <si>
    <r>
      <t xml:space="preserve">(3M CHF LIBOR na dan 27.08.2007.god. iznosi 2,8633% </t>
    </r>
    <r>
      <rPr>
        <b/>
        <sz val="11"/>
        <rFont val="Symbol"/>
        <family val="1"/>
        <charset val="2"/>
      </rPr>
      <t>Þ</t>
    </r>
    <r>
      <rPr>
        <b/>
        <sz val="11"/>
        <rFont val="Trebuchet MS"/>
        <family val="2"/>
        <charset val="238"/>
      </rPr>
      <t xml:space="preserve"> 2,8633% + 4,4367% = 6,99%)</t>
    </r>
  </si>
  <si>
    <r>
      <t>Finansijski lizing - Plan otplate (</t>
    </r>
    <r>
      <rPr>
        <b/>
        <i/>
        <sz val="10"/>
        <rFont val="Trebuchet MS"/>
        <family val="2"/>
        <charset val="238"/>
      </rPr>
      <t>Financial leasing - payment plan)</t>
    </r>
  </si>
  <si>
    <r>
      <t>Nabavna cena bez PDV-a (</t>
    </r>
    <r>
      <rPr>
        <b/>
        <i/>
        <sz val="10"/>
        <rFont val="Trebuchet MS"/>
        <family val="2"/>
        <charset val="238"/>
      </rPr>
      <t>Purchase price ( - VAT)</t>
    </r>
    <r>
      <rPr>
        <b/>
        <sz val="10"/>
        <rFont val="Trebuchet MS"/>
        <family val="2"/>
        <charset val="238"/>
      </rPr>
      <t>):</t>
    </r>
  </si>
  <si>
    <r>
      <t xml:space="preserve">Iznos finansiranja </t>
    </r>
    <r>
      <rPr>
        <b/>
        <i/>
        <sz val="10"/>
        <rFont val="Trebuchet MS"/>
        <family val="2"/>
        <charset val="238"/>
      </rPr>
      <t>(Financed volume)</t>
    </r>
    <r>
      <rPr>
        <b/>
        <sz val="10"/>
        <rFont val="Trebuchet MS"/>
        <family val="2"/>
        <charset val="238"/>
      </rPr>
      <t>:</t>
    </r>
  </si>
  <si>
    <r>
      <t xml:space="preserve">Učešće </t>
    </r>
    <r>
      <rPr>
        <b/>
        <i/>
        <sz val="10"/>
        <rFont val="Trebuchet MS"/>
        <family val="2"/>
        <charset val="238"/>
      </rPr>
      <t>(Down payment (%))</t>
    </r>
  </si>
  <si>
    <r>
      <t xml:space="preserve">Period (u mesecima) </t>
    </r>
    <r>
      <rPr>
        <b/>
        <i/>
        <sz val="10"/>
        <rFont val="Trebuchet MS"/>
        <family val="2"/>
        <charset val="238"/>
      </rPr>
      <t>(Duration (months):</t>
    </r>
  </si>
  <si>
    <r>
      <t xml:space="preserve">Mesec </t>
    </r>
    <r>
      <rPr>
        <b/>
        <i/>
        <sz val="10"/>
        <rFont val="Trebuchet MS"/>
        <family val="2"/>
        <charset val="238"/>
      </rPr>
      <t>(Month)</t>
    </r>
  </si>
  <si>
    <r>
      <t xml:space="preserve">Rata </t>
    </r>
    <r>
      <rPr>
        <b/>
        <i/>
        <sz val="10"/>
        <rFont val="Trebuchet MS"/>
        <family val="2"/>
        <charset val="238"/>
      </rPr>
      <t>(Installment)</t>
    </r>
  </si>
  <si>
    <r>
      <t xml:space="preserve">Kamata </t>
    </r>
    <r>
      <rPr>
        <b/>
        <i/>
        <sz val="10"/>
        <rFont val="Trebuchet MS"/>
        <family val="2"/>
        <charset val="238"/>
      </rPr>
      <t>(Interest)</t>
    </r>
  </si>
  <si>
    <r>
      <t xml:space="preserve">Glavnica </t>
    </r>
    <r>
      <rPr>
        <b/>
        <i/>
        <sz val="10"/>
        <rFont val="Trebuchet MS"/>
        <family val="2"/>
        <charset val="238"/>
      </rPr>
      <t>(Principal)</t>
    </r>
  </si>
  <si>
    <r>
      <t xml:space="preserve">Ostatak glavnice </t>
    </r>
    <r>
      <rPr>
        <b/>
        <i/>
        <sz val="9"/>
        <color indexed="10"/>
        <rFont val="Trebuchet MS"/>
        <family val="2"/>
        <charset val="238"/>
      </rPr>
      <t>(Outstanding principal)</t>
    </r>
  </si>
  <si>
    <t>EURIBOR NA DAN:</t>
  </si>
  <si>
    <t>Minimalno učešće ne sme biti manje od 4% od netto cene !!!</t>
  </si>
  <si>
    <t xml:space="preserve">PROBLEM SA MINIMALNIM UČEŠĆEM !!! Minimalno učešće ne sme biti manje od 4% !!! </t>
  </si>
  <si>
    <t>PONUDA JE VALIDNA !!!</t>
  </si>
  <si>
    <t>SVE OSTALO FIRMA</t>
  </si>
  <si>
    <t>NETO</t>
  </si>
  <si>
    <t>BRUTO</t>
  </si>
  <si>
    <t>UČEŠĆE U %</t>
  </si>
  <si>
    <t>UČEŠĆE U EUR</t>
  </si>
  <si>
    <t>Iz.Fin.</t>
  </si>
  <si>
    <t>SECURED</t>
  </si>
  <si>
    <t>UNSC PDV</t>
  </si>
  <si>
    <t>UNSECURED</t>
  </si>
  <si>
    <t>TOTAL</t>
  </si>
  <si>
    <t>Existing</t>
  </si>
  <si>
    <t>K1 do 3 god</t>
  </si>
  <si>
    <t>K2 preko3 god</t>
  </si>
  <si>
    <t xml:space="preserve">Unsecured </t>
  </si>
  <si>
    <t>Unsecured FIN PDV</t>
  </si>
  <si>
    <t>Secured</t>
  </si>
  <si>
    <t>ERB Leasing A.D., Vuka Karadzica 10, 11 000 Beograd, tel: (+381 11) 3027 555, fax: (+381 11) 2622 350, www.efgleasing.rs</t>
  </si>
  <si>
    <t xml:space="preserve">Primalac lizinga je dužan da predmet lizinga osigura kod jednog od društava za osiguravanje: Uniqa osiguranje, Delta Generali, DDOR Novi Sad osiguranje, Dunav Osiguranje,Triglav, Basler po izboru primaoca lizinga, u celom periodu trajanja lizing ugovora, i to od sledećih rizika: 
- imovinskih rizika: osiguranje od loma mašine, osiguranje od provalne krađe i razbojništva,
- osiguranje od požara, poplave i visoke vode, bujice, izliv vode iz vodovodnih i kanalizacionih cevi, i drugih opasnosti u zavisnosti od namene opreme i mesta upotrebe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550
Mob: (+381) (0) 64 8853-209                                                                                  </t>
  </si>
  <si>
    <t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t>
  </si>
  <si>
    <t>STANDARDNI KALKULATOR ERB Leasing A.D.</t>
  </si>
  <si>
    <t>ERB Leasing A.D., Vuka Karadzica 10, 11 000 Beograd, tel: (+381 11) 3027 555, fax: (+381 11) 2622 350, www.erbleasing.rs</t>
  </si>
  <si>
    <t>ERB Leasing A.D. , Vuka Karadzica 10, 11 000 Beograd, tel: (+381 11) 3027 555, fax: (+381 11) 2622 350, www.erbleasing.rs</t>
  </si>
  <si>
    <t>Troškovi kreditnog biroa</t>
  </si>
  <si>
    <t>PRAVNO LICE</t>
  </si>
  <si>
    <t>PREDUZETNIK</t>
  </si>
  <si>
    <t>FIZIČKO LICE</t>
  </si>
  <si>
    <t>PREDUZETNIK JEMAC</t>
  </si>
  <si>
    <t>PRAVNO LICE JEMAC</t>
  </si>
  <si>
    <t>TROSKOVI KREDITNOU U RDS</t>
  </si>
  <si>
    <t>TROSKOVI KREDITNOU U EUR</t>
  </si>
  <si>
    <t>Troškovi kreditnog biroa sa PDV-om:</t>
  </si>
  <si>
    <t>Troškovi registracije ugovora sа PDV-om:</t>
  </si>
  <si>
    <t>Ukupni PDV ( PDV na neto nabavnu cenu + PDV na kamatu )</t>
  </si>
  <si>
    <t>Iznos + Kamata</t>
  </si>
  <si>
    <t>Rata n SK</t>
  </si>
  <si>
    <t>Rata K1</t>
  </si>
  <si>
    <t>Rata K2</t>
  </si>
  <si>
    <t>Iznos Fin</t>
  </si>
  <si>
    <t>UK</t>
  </si>
  <si>
    <t>UK1</t>
  </si>
  <si>
    <t>UK2</t>
  </si>
  <si>
    <t>Ukupna kamata AIR 1</t>
  </si>
  <si>
    <t>Action Interest rate 1</t>
  </si>
  <si>
    <t>Action Interest rate 2</t>
  </si>
  <si>
    <t>Ukupna kamata AIR 2</t>
  </si>
  <si>
    <t>PDV od troškova odobrenja:</t>
  </si>
  <si>
    <t>Troškovi odobrenja:</t>
  </si>
  <si>
    <t>PDV od Troškova kreditnog biroa:</t>
  </si>
  <si>
    <t>PDV od troškova registracije ugovora:</t>
  </si>
  <si>
    <t>Interkalarna EUR</t>
  </si>
  <si>
    <t>PDV EUR</t>
  </si>
  <si>
    <t>Ukupno EUR</t>
  </si>
  <si>
    <t>Datum plaćanja</t>
  </si>
  <si>
    <t>Datum rate</t>
  </si>
  <si>
    <t>Iznos za plaćanje</t>
  </si>
  <si>
    <t xml:space="preserve">Broj dana </t>
  </si>
  <si>
    <t>POLUGODIŠNJE RATE</t>
  </si>
  <si>
    <t>da ne</t>
  </si>
  <si>
    <t>INTERKALARNA KAMATA-GREJS PERIOD</t>
  </si>
  <si>
    <t>KVARTALNE RATE</t>
  </si>
  <si>
    <t>Kvartalne/Polugodišnje rate</t>
  </si>
  <si>
    <t>Iznos rate u EUR</t>
  </si>
  <si>
    <t>Broj rata</t>
  </si>
  <si>
    <t>KVARTALNE / POLUGODIŠNJE RATE</t>
  </si>
  <si>
    <t>Broj Rata</t>
  </si>
  <si>
    <t>Godišnja srednja kamata</t>
  </si>
  <si>
    <t>ERB Leasing a.d., Vuka Karadzica 10, 11 000 Beograd, tel: (+381 11) 3027 555, fax: (+381 11) 2622 350, www.erbleasing.rs</t>
  </si>
  <si>
    <t>Potrebna plata za fizičko lice:</t>
  </si>
  <si>
    <r>
      <t xml:space="preserve">(3M CHF LIBOR na dan 27.08.2007.god. iznosi 2,8633% </t>
    </r>
    <r>
      <rPr>
        <b/>
        <sz val="10"/>
        <rFont val="Symbol"/>
        <family val="1"/>
        <charset val="2"/>
      </rPr>
      <t>Þ</t>
    </r>
    <r>
      <rPr>
        <b/>
        <sz val="10"/>
        <rFont val="Trebuchet MS"/>
        <family val="2"/>
        <charset val="238"/>
      </rPr>
      <t xml:space="preserve"> 2,8633% + 4,4367% = 6,99%)</t>
    </r>
  </si>
  <si>
    <t>Troškovi registracije ugovora sa PDV-om:</t>
  </si>
  <si>
    <t>Manipulativni troškovi sa PDV-om:</t>
  </si>
  <si>
    <t>PDV na kamatu</t>
  </si>
  <si>
    <t>Ukupno trajanje ugovora u mesecima</t>
  </si>
  <si>
    <t>Iznos pojedinačne rate:</t>
  </si>
  <si>
    <t>Iznos rate lizing naknade</t>
  </si>
  <si>
    <t>PDV koji se finansira</t>
  </si>
  <si>
    <t>Iznos PDV koji se finansira</t>
  </si>
  <si>
    <t>STANDARDNI KALKULATOR 
ERB LEASING
V1.02 by sViLaR</t>
  </si>
  <si>
    <t xml:space="preserve">                ERB Leasing a.d., Vuka Karadzica 10, 11 000 Beograd, tel: (+381 11) 3027 555, fax: (+381 11) 2622 350, www.erbleasing.rs</t>
  </si>
  <si>
    <r>
      <t xml:space="preserve">Ostatak glavnice </t>
    </r>
    <r>
      <rPr>
        <i/>
        <sz val="9"/>
        <color indexed="10"/>
        <rFont val="Trebuchet MS"/>
        <family val="2"/>
        <charset val="238"/>
      </rPr>
      <t>(Outstanding principal)</t>
    </r>
  </si>
  <si>
    <r>
      <t xml:space="preserve">Glavnica </t>
    </r>
    <r>
      <rPr>
        <i/>
        <sz val="10"/>
        <rFont val="Trebuchet MS"/>
        <family val="2"/>
        <charset val="238"/>
      </rPr>
      <t>(Principal)</t>
    </r>
  </si>
  <si>
    <r>
      <t xml:space="preserve">Kamata </t>
    </r>
    <r>
      <rPr>
        <i/>
        <sz val="10"/>
        <rFont val="Trebuchet MS"/>
        <family val="2"/>
        <charset val="238"/>
      </rPr>
      <t>(Interest)</t>
    </r>
  </si>
  <si>
    <r>
      <t xml:space="preserve">Rata </t>
    </r>
    <r>
      <rPr>
        <i/>
        <sz val="10"/>
        <rFont val="Trebuchet MS"/>
        <family val="2"/>
        <charset val="238"/>
      </rPr>
      <t>(Installment)</t>
    </r>
  </si>
  <si>
    <r>
      <t xml:space="preserve">Mesec </t>
    </r>
    <r>
      <rPr>
        <i/>
        <sz val="10"/>
        <rFont val="Trebuchet MS"/>
        <family val="2"/>
        <charset val="238"/>
      </rPr>
      <t>(Month)</t>
    </r>
  </si>
  <si>
    <r>
      <t xml:space="preserve">Period (u mesecima) </t>
    </r>
    <r>
      <rPr>
        <i/>
        <sz val="10"/>
        <rFont val="Trebuchet MS"/>
        <family val="2"/>
        <charset val="238"/>
      </rPr>
      <t>(Duration (months):</t>
    </r>
  </si>
  <si>
    <r>
      <t xml:space="preserve">Učešće </t>
    </r>
    <r>
      <rPr>
        <i/>
        <sz val="10"/>
        <rFont val="Trebuchet MS"/>
        <family val="2"/>
        <charset val="238"/>
      </rPr>
      <t>(Down payment (%))</t>
    </r>
  </si>
  <si>
    <r>
      <t xml:space="preserve">Iznos finansiranja </t>
    </r>
    <r>
      <rPr>
        <i/>
        <sz val="10"/>
        <rFont val="Trebuchet MS"/>
        <family val="2"/>
        <charset val="238"/>
      </rPr>
      <t>(Financed volume)</t>
    </r>
    <r>
      <rPr>
        <sz val="10"/>
        <rFont val="Trebuchet MS"/>
        <family val="2"/>
        <charset val="238"/>
      </rPr>
      <t>:</t>
    </r>
  </si>
  <si>
    <r>
      <t>Nabavna cena bez PDV-a (</t>
    </r>
    <r>
      <rPr>
        <i/>
        <sz val="10"/>
        <rFont val="Trebuchet MS"/>
        <family val="2"/>
        <charset val="238"/>
      </rPr>
      <t>Purchase price ( - VAT)</t>
    </r>
    <r>
      <rPr>
        <sz val="10"/>
        <rFont val="Trebuchet MS"/>
        <family val="2"/>
        <charset val="238"/>
      </rPr>
      <t>):</t>
    </r>
  </si>
  <si>
    <r>
      <t>Finansijski lizing - Plan otplate (</t>
    </r>
    <r>
      <rPr>
        <i/>
        <sz val="10"/>
        <rFont val="Trebuchet MS"/>
        <family val="2"/>
        <charset val="238"/>
      </rPr>
      <t>Financial leasing - payment plan)</t>
    </r>
  </si>
  <si>
    <t>STANDARDNI KALKULATOR ZA 3M / 6M</t>
  </si>
  <si>
    <t>Starost &lt;&gt;3god</t>
  </si>
  <si>
    <t>Viljuskar</t>
  </si>
  <si>
    <t>Greentech</t>
  </si>
</sst>
</file>

<file path=xl/styles.xml><?xml version="1.0" encoding="utf-8"?>
<styleSheet xmlns="http://schemas.openxmlformats.org/spreadsheetml/2006/main">
  <numFmts count="12">
    <numFmt numFmtId="8" formatCode="#,##0.00\ &quot;Din.&quot;;[Red]\-#,##0.00\ &quot;Din.&quot;"/>
    <numFmt numFmtId="164" formatCode="_(* #,##0.00_);_(* \(#,##0.00\);_(* &quot;-&quot;??_);_(@_)"/>
    <numFmt numFmtId="165" formatCode="#,##0.00\ [$€-42D]"/>
    <numFmt numFmtId="166" formatCode="#,##0.00\ [$€-42D];[Red]\-#,##0.00\ [$€-42D]"/>
    <numFmt numFmtId="167" formatCode="#,##0.00\ &quot;Din.&quot;"/>
    <numFmt numFmtId="168" formatCode="#,##0.00\ [$€-403]"/>
    <numFmt numFmtId="169" formatCode="[$€-2]\ #,##0.00"/>
    <numFmt numFmtId="170" formatCode="0.000%"/>
    <numFmt numFmtId="171" formatCode="#,##0.00\ [$EUR]"/>
    <numFmt numFmtId="172" formatCode="#,##0.00\ [$EUR];[Red]\-#,##0.00\ [$EUR]"/>
    <numFmt numFmtId="173" formatCode="#,##0.00\ [$€-1]"/>
    <numFmt numFmtId="174" formatCode="#,##0.00\ [$€-1];[Red]\-#,##0.00\ [$€-1]"/>
  </numFmts>
  <fonts count="65">
    <font>
      <sz val="12"/>
      <name val="YUITCKorR"/>
    </font>
    <font>
      <sz val="12"/>
      <name val="YUITCKorR"/>
    </font>
    <font>
      <sz val="8"/>
      <name val="YUITCKorR"/>
    </font>
    <font>
      <sz val="8"/>
      <name val="Tahoma"/>
      <family val="2"/>
      <charset val="238"/>
    </font>
    <font>
      <sz val="10"/>
      <name val="Trebuchet MS"/>
      <family val="2"/>
      <charset val="238"/>
    </font>
    <font>
      <b/>
      <sz val="10"/>
      <name val="Trebuchet MS"/>
      <family val="2"/>
      <charset val="238"/>
    </font>
    <font>
      <sz val="10"/>
      <color indexed="10"/>
      <name val="Trebuchet MS"/>
      <family val="2"/>
      <charset val="238"/>
    </font>
    <font>
      <sz val="10"/>
      <color indexed="9"/>
      <name val="Trebuchet MS"/>
      <family val="2"/>
      <charset val="238"/>
    </font>
    <font>
      <b/>
      <sz val="10"/>
      <color indexed="9"/>
      <name val="Trebuchet MS"/>
      <family val="2"/>
      <charset val="238"/>
    </font>
    <font>
      <b/>
      <sz val="12"/>
      <name val="Trebuchet MS"/>
      <family val="2"/>
      <charset val="238"/>
    </font>
    <font>
      <b/>
      <sz val="10"/>
      <color indexed="12"/>
      <name val="Trebuchet MS"/>
      <family val="2"/>
      <charset val="238"/>
    </font>
    <font>
      <sz val="10"/>
      <color indexed="12"/>
      <name val="Trebuchet MS"/>
      <family val="2"/>
      <charset val="238"/>
    </font>
    <font>
      <b/>
      <sz val="9"/>
      <name val="Trebuchet MS"/>
      <family val="2"/>
      <charset val="238"/>
    </font>
    <font>
      <sz val="9"/>
      <name val="Trebuchet MS"/>
      <family val="2"/>
      <charset val="238"/>
    </font>
    <font>
      <sz val="9"/>
      <color indexed="9"/>
      <name val="Trebuchet MS"/>
      <family val="2"/>
      <charset val="238"/>
    </font>
    <font>
      <b/>
      <i/>
      <sz val="10"/>
      <name val="Trebuchet MS"/>
      <family val="2"/>
      <charset val="238"/>
    </font>
    <font>
      <i/>
      <sz val="10"/>
      <name val="Trebuchet MS"/>
      <family val="2"/>
      <charset val="238"/>
    </font>
    <font>
      <b/>
      <i/>
      <sz val="12"/>
      <name val="Trebuchet MS"/>
      <family val="2"/>
      <charset val="238"/>
    </font>
    <font>
      <b/>
      <sz val="8"/>
      <name val="Tahoma"/>
      <family val="2"/>
      <charset val="238"/>
    </font>
    <font>
      <sz val="20"/>
      <name val="Trebuchet MS"/>
      <family val="2"/>
      <charset val="238"/>
    </font>
    <font>
      <b/>
      <sz val="10"/>
      <color indexed="18"/>
      <name val="Trebuchet MS"/>
      <family val="2"/>
      <charset val="238"/>
    </font>
    <font>
      <b/>
      <i/>
      <sz val="10"/>
      <color indexed="18"/>
      <name val="Trebuchet MS"/>
      <family val="2"/>
      <charset val="238"/>
    </font>
    <font>
      <b/>
      <i/>
      <sz val="10"/>
      <color indexed="9"/>
      <name val="Trebuchet MS"/>
      <family val="2"/>
      <charset val="238"/>
    </font>
    <font>
      <sz val="12"/>
      <name val="YUITCKorR"/>
    </font>
    <font>
      <b/>
      <sz val="8"/>
      <color indexed="81"/>
      <name val="Tahoma"/>
      <family val="2"/>
      <charset val="238"/>
    </font>
    <font>
      <sz val="10"/>
      <name val="Tahoma"/>
      <family val="2"/>
    </font>
    <font>
      <b/>
      <sz val="10"/>
      <name val="Trebuchet MS"/>
      <family val="2"/>
    </font>
    <font>
      <b/>
      <sz val="10"/>
      <name val="Tahoma"/>
      <family val="2"/>
    </font>
    <font>
      <sz val="10"/>
      <name val="Arial"/>
      <family val="2"/>
      <charset val="238"/>
    </font>
    <font>
      <b/>
      <u/>
      <sz val="14"/>
      <name val="Trebuchet MS"/>
      <family val="2"/>
      <charset val="238"/>
    </font>
    <font>
      <b/>
      <sz val="10"/>
      <color rgb="FFFF0000"/>
      <name val="Trebuchet MS"/>
      <family val="2"/>
      <charset val="238"/>
    </font>
    <font>
      <b/>
      <sz val="10"/>
      <color theme="3"/>
      <name val="Trebuchet MS"/>
      <family val="2"/>
      <charset val="238"/>
    </font>
    <font>
      <sz val="10"/>
      <color theme="0"/>
      <name val="Trebuchet MS"/>
      <family val="2"/>
      <charset val="238"/>
    </font>
    <font>
      <b/>
      <sz val="14"/>
      <color theme="3" tint="-0.249977111117893"/>
      <name val="Trebuchet MS"/>
      <family val="2"/>
      <charset val="238"/>
    </font>
    <font>
      <sz val="14"/>
      <color theme="3" tint="-0.249977111117893"/>
      <name val="YUITCKorR"/>
    </font>
    <font>
      <b/>
      <i/>
      <sz val="12"/>
      <color rgb="FFFF0000"/>
      <name val="YUITCKorR"/>
    </font>
    <font>
      <sz val="11"/>
      <name val="Trebuchet MS"/>
      <family val="2"/>
      <charset val="238"/>
    </font>
    <font>
      <b/>
      <sz val="11"/>
      <name val="Trebuchet MS"/>
      <family val="2"/>
      <charset val="238"/>
    </font>
    <font>
      <b/>
      <sz val="11"/>
      <name val="Trebuchet MS"/>
      <family val="2"/>
    </font>
    <font>
      <sz val="11"/>
      <color indexed="9"/>
      <name val="Trebuchet MS"/>
      <family val="2"/>
      <charset val="238"/>
    </font>
    <font>
      <b/>
      <sz val="11"/>
      <name val="Symbol"/>
      <family val="1"/>
      <charset val="2"/>
    </font>
    <font>
      <b/>
      <sz val="10"/>
      <color indexed="10"/>
      <name val="Trebuchet MS"/>
      <family val="2"/>
      <charset val="238"/>
    </font>
    <font>
      <b/>
      <sz val="9"/>
      <color indexed="10"/>
      <name val="Trebuchet MS"/>
      <family val="2"/>
      <charset val="238"/>
    </font>
    <font>
      <b/>
      <i/>
      <sz val="9"/>
      <color indexed="10"/>
      <name val="Trebuchet MS"/>
      <family val="2"/>
      <charset val="238"/>
    </font>
    <font>
      <sz val="10"/>
      <color rgb="FFFF0000"/>
      <name val="Trebuchet MS"/>
      <family val="2"/>
      <charset val="238"/>
    </font>
    <font>
      <sz val="10"/>
      <color theme="4"/>
      <name val="Trebuchet MS"/>
      <family val="2"/>
      <charset val="238"/>
    </font>
    <font>
      <b/>
      <sz val="10"/>
      <color theme="0" tint="-0.14999847407452621"/>
      <name val="Trebuchet MS"/>
      <family val="2"/>
      <charset val="238"/>
    </font>
    <font>
      <b/>
      <sz val="11"/>
      <color rgb="FFFF0000"/>
      <name val="Trebuchet MS"/>
      <family val="2"/>
      <charset val="238"/>
    </font>
    <font>
      <b/>
      <sz val="10"/>
      <color theme="0"/>
      <name val="Trebuchet MS"/>
      <family val="2"/>
      <charset val="238"/>
    </font>
    <font>
      <b/>
      <sz val="10"/>
      <name val="YUITCKorR"/>
      <charset val="238"/>
    </font>
    <font>
      <b/>
      <sz val="12"/>
      <name val="Trebuchet MS"/>
      <family val="2"/>
    </font>
    <font>
      <b/>
      <sz val="9"/>
      <name val="YUITCKorR"/>
    </font>
    <font>
      <b/>
      <sz val="9"/>
      <color indexed="18"/>
      <name val="Trebuchet MS"/>
      <family val="2"/>
      <charset val="238"/>
    </font>
    <font>
      <sz val="11"/>
      <name val="YUITCKorR"/>
    </font>
    <font>
      <b/>
      <sz val="10"/>
      <color rgb="FF002060"/>
      <name val="Trebuchet MS"/>
      <family val="2"/>
      <charset val="238"/>
    </font>
    <font>
      <b/>
      <sz val="10"/>
      <name val="Symbol"/>
      <family val="1"/>
      <charset val="2"/>
    </font>
    <font>
      <b/>
      <u/>
      <sz val="12"/>
      <name val="Trebuchet MS"/>
      <family val="2"/>
      <charset val="238"/>
    </font>
    <font>
      <b/>
      <sz val="16"/>
      <color theme="0"/>
      <name val="Trebuchet MS"/>
      <family val="2"/>
      <charset val="238"/>
    </font>
    <font>
      <b/>
      <sz val="12"/>
      <color theme="0"/>
      <name val="Trebuchet MS"/>
      <family val="2"/>
      <charset val="238"/>
    </font>
    <font>
      <b/>
      <sz val="14"/>
      <color theme="0"/>
      <name val="Trebuchet MS"/>
      <family val="2"/>
      <charset val="238"/>
    </font>
    <font>
      <sz val="9"/>
      <color indexed="10"/>
      <name val="Trebuchet MS"/>
      <family val="2"/>
      <charset val="238"/>
    </font>
    <font>
      <i/>
      <sz val="9"/>
      <color indexed="10"/>
      <name val="Trebuchet MS"/>
      <family val="2"/>
      <charset val="238"/>
    </font>
    <font>
      <b/>
      <i/>
      <sz val="14"/>
      <color theme="3" tint="-0.499984740745262"/>
      <name val="Trebuchet MS"/>
      <family val="2"/>
      <charset val="238"/>
    </font>
    <font>
      <sz val="12"/>
      <color theme="3" tint="-0.499984740745262"/>
      <name val="YUITCKorR"/>
    </font>
    <font>
      <sz val="9"/>
      <color theme="0" tint="-0.14999847407452621"/>
      <name val="Trebuchet MS"/>
      <family val="2"/>
      <charset val="238"/>
    </font>
  </fonts>
  <fills count="18">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9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rgb="FFFF0000"/>
        <bgColor indexed="64"/>
      </patternFill>
    </fill>
    <fill>
      <patternFill patternType="solid">
        <fgColor theme="0" tint="-0.249977111117893"/>
        <bgColor indexed="64"/>
      </patternFill>
    </fill>
    <fill>
      <patternFill patternType="solid">
        <fgColor rgb="FFFFFF66"/>
        <bgColor indexed="64"/>
      </patternFill>
    </fill>
    <fill>
      <patternFill patternType="solid">
        <fgColor rgb="FF92D050"/>
        <bgColor indexed="64"/>
      </patternFill>
    </fill>
    <fill>
      <patternFill patternType="solid">
        <fgColor rgb="FF00B0F0"/>
        <bgColor indexed="64"/>
      </patternFill>
    </fill>
    <fill>
      <patternFill patternType="solid">
        <fgColor rgb="FFFFFF99"/>
        <bgColor rgb="FF000000"/>
      </patternFill>
    </fill>
  </fills>
  <borders count="109">
    <border>
      <left/>
      <right/>
      <top/>
      <bottom/>
      <diagonal/>
    </border>
    <border>
      <left/>
      <right/>
      <top/>
      <bottom style="thick">
        <color indexed="22"/>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double">
        <color indexed="22"/>
      </top>
      <bottom/>
      <diagonal/>
    </border>
    <border>
      <left style="double">
        <color indexed="22"/>
      </left>
      <right/>
      <top/>
      <bottom/>
      <diagonal/>
    </border>
    <border>
      <left/>
      <right style="double">
        <color indexed="22"/>
      </right>
      <top/>
      <bottom/>
      <diagonal/>
    </border>
    <border>
      <left style="double">
        <color indexed="22"/>
      </left>
      <right/>
      <top/>
      <bottom style="thick">
        <color indexed="22"/>
      </bottom>
      <diagonal/>
    </border>
    <border>
      <left style="double">
        <color indexed="22"/>
      </left>
      <right/>
      <top/>
      <bottom style="double">
        <color indexed="22"/>
      </bottom>
      <diagonal/>
    </border>
    <border>
      <left/>
      <right/>
      <top/>
      <bottom style="double">
        <color indexed="22"/>
      </bottom>
      <diagonal/>
    </border>
    <border>
      <left/>
      <right style="hair">
        <color indexed="64"/>
      </right>
      <top/>
      <bottom/>
      <diagonal/>
    </border>
    <border>
      <left/>
      <right/>
      <top/>
      <bottom style="hair">
        <color indexed="64"/>
      </bottom>
      <diagonal/>
    </border>
    <border>
      <left/>
      <right/>
      <top/>
      <bottom style="medium">
        <color indexed="22"/>
      </bottom>
      <diagonal/>
    </border>
    <border>
      <left/>
      <right/>
      <top style="thick">
        <color indexed="22"/>
      </top>
      <bottom style="thick">
        <color indexed="22"/>
      </bottom>
      <diagonal/>
    </border>
    <border>
      <left style="double">
        <color indexed="22"/>
      </left>
      <right/>
      <top style="thick">
        <color indexed="22"/>
      </top>
      <bottom style="thick">
        <color indexed="22"/>
      </bottom>
      <diagonal/>
    </border>
    <border>
      <left style="double">
        <color indexed="22"/>
      </left>
      <right/>
      <top style="thick">
        <color indexed="22"/>
      </top>
      <bottom/>
      <diagonal/>
    </border>
    <border>
      <left/>
      <right/>
      <top style="thick">
        <color indexed="22"/>
      </top>
      <bottom/>
      <diagonal/>
    </border>
    <border>
      <left/>
      <right style="thick">
        <color indexed="22"/>
      </right>
      <top/>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style="medium">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right style="hair">
        <color indexed="64"/>
      </right>
      <top style="hair">
        <color indexed="64"/>
      </top>
      <bottom/>
      <diagonal/>
    </border>
    <border>
      <left style="hair">
        <color indexed="64"/>
      </left>
      <right/>
      <top/>
      <bottom/>
      <diagonal/>
    </border>
    <border>
      <left style="hair">
        <color indexed="64"/>
      </left>
      <right/>
      <top/>
      <bottom style="hair">
        <color indexed="64"/>
      </bottom>
      <diagonal/>
    </border>
    <border>
      <left/>
      <right style="hair">
        <color indexed="64"/>
      </right>
      <top/>
      <bottom style="hair">
        <color indexed="64"/>
      </bottom>
      <diagonal/>
    </border>
    <border>
      <left/>
      <right/>
      <top style="hair">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hair">
        <color indexed="64"/>
      </top>
      <bottom/>
      <diagonal/>
    </border>
    <border>
      <left style="hair">
        <color indexed="64"/>
      </left>
      <right style="hair">
        <color indexed="64"/>
      </right>
      <top style="hair">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style="double">
        <color indexed="22"/>
      </right>
      <top/>
      <bottom style="thick">
        <color indexed="22"/>
      </bottom>
      <diagonal/>
    </border>
    <border>
      <left/>
      <right style="double">
        <color indexed="22"/>
      </right>
      <top/>
      <bottom style="double">
        <color indexed="22"/>
      </bottom>
      <diagonal/>
    </border>
    <border>
      <left/>
      <right style="double">
        <color indexed="22"/>
      </right>
      <top style="thick">
        <color indexed="22"/>
      </top>
      <bottom style="thick">
        <color indexed="22"/>
      </bottom>
      <diagonal/>
    </border>
    <border>
      <left/>
      <right style="double">
        <color indexed="22"/>
      </right>
      <top style="thick">
        <color indexed="22"/>
      </top>
      <bottom/>
      <diagonal/>
    </border>
    <border>
      <left/>
      <right style="thick">
        <color indexed="22"/>
      </right>
      <top style="thick">
        <color indexed="22"/>
      </top>
      <bottom style="thick">
        <color indexed="22"/>
      </bottom>
      <diagonal/>
    </border>
    <border>
      <left style="hair">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medium">
        <color indexed="64"/>
      </right>
      <top/>
      <bottom style="hair">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theme="0" tint="-0.249977111117893"/>
      </bottom>
      <diagonal/>
    </border>
    <border>
      <left/>
      <right style="medium">
        <color theme="0" tint="-0.249977111117893"/>
      </right>
      <top/>
      <bottom/>
      <diagonal/>
    </border>
    <border>
      <left/>
      <right style="medium">
        <color theme="0" tint="-0.249977111117893"/>
      </right>
      <top style="medium">
        <color theme="0" tint="-0.249977111117893"/>
      </top>
      <bottom style="medium">
        <color theme="0" tint="-0.249977111117893"/>
      </bottom>
      <diagonal/>
    </border>
    <border>
      <left style="medium">
        <color theme="0" tint="-0.14999847407452621"/>
      </left>
      <right/>
      <top style="medium">
        <color theme="0" tint="-0.14999847407452621"/>
      </top>
      <bottom style="medium">
        <color theme="0" tint="-0.14999847407452621"/>
      </bottom>
      <diagonal/>
    </border>
    <border>
      <left/>
      <right/>
      <top style="medium">
        <color theme="0" tint="-0.14999847407452621"/>
      </top>
      <bottom style="medium">
        <color theme="0" tint="-0.14999847407452621"/>
      </bottom>
      <diagonal/>
    </border>
    <border>
      <left/>
      <right style="medium">
        <color theme="0" tint="-0.14999847407452621"/>
      </right>
      <top style="medium">
        <color theme="0" tint="-0.14999847407452621"/>
      </top>
      <bottom style="medium">
        <color theme="0" tint="-0.14999847407452621"/>
      </bottom>
      <diagonal/>
    </border>
    <border>
      <left/>
      <right/>
      <top/>
      <bottom style="medium">
        <color theme="0" tint="-0.14999847407452621"/>
      </bottom>
      <diagonal/>
    </border>
    <border>
      <left style="medium">
        <color theme="0" tint="-0.14999847407452621"/>
      </left>
      <right style="medium">
        <color theme="0" tint="-0.14999847407452621"/>
      </right>
      <top style="medium">
        <color theme="0" tint="-0.14999847407452621"/>
      </top>
      <bottom style="medium">
        <color theme="0" tint="-0.14999847407452621"/>
      </bottom>
      <diagonal/>
    </border>
    <border>
      <left style="medium">
        <color theme="1"/>
      </left>
      <right style="medium">
        <color theme="1"/>
      </right>
      <top style="medium">
        <color theme="1"/>
      </top>
      <bottom style="medium">
        <color theme="1"/>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double">
        <color indexed="22"/>
      </left>
      <right/>
      <top style="thick">
        <color indexed="22"/>
      </top>
      <bottom style="thin">
        <color indexed="64"/>
      </bottom>
      <diagonal/>
    </border>
    <border>
      <left/>
      <right/>
      <top style="thick">
        <color indexed="22"/>
      </top>
      <bottom style="thin">
        <color indexed="64"/>
      </bottom>
      <diagonal/>
    </border>
    <border>
      <left/>
      <right style="double">
        <color indexed="22"/>
      </right>
      <top style="thick">
        <color indexed="22"/>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top style="medium">
        <color theme="0" tint="-0.249977111117893"/>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top style="medium">
        <color indexed="22"/>
      </top>
      <bottom/>
      <diagonal/>
    </border>
    <border>
      <left style="hair">
        <color indexed="64"/>
      </left>
      <right style="hair">
        <color indexed="64"/>
      </right>
      <top/>
      <bottom style="hair">
        <color indexed="64"/>
      </bottom>
      <diagonal/>
    </border>
    <border>
      <left style="medium">
        <color indexed="64"/>
      </left>
      <right style="hair">
        <color indexed="64"/>
      </right>
      <top/>
      <bottom style="hair">
        <color indexed="64"/>
      </bottom>
      <diagonal/>
    </border>
    <border>
      <left style="hair">
        <color indexed="64"/>
      </left>
      <right style="hair">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top style="hair">
        <color indexed="64"/>
      </top>
      <bottom/>
      <diagonal/>
    </border>
    <border>
      <left style="medium">
        <color indexed="64"/>
      </left>
      <right/>
      <top style="hair">
        <color indexed="64"/>
      </top>
      <bottom/>
      <diagonal/>
    </border>
  </borders>
  <cellStyleXfs count="2">
    <xf numFmtId="0" fontId="0" fillId="0" borderId="0"/>
    <xf numFmtId="164" fontId="1" fillId="0" borderId="0" applyFont="0" applyFill="0" applyBorder="0" applyAlignment="0" applyProtection="0"/>
  </cellStyleXfs>
  <cellXfs count="699">
    <xf numFmtId="0" fontId="0" fillId="0" borderId="0" xfId="0"/>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Fill="1" applyBorder="1" applyAlignment="1">
      <alignment vertical="center"/>
    </xf>
    <xf numFmtId="166" fontId="4" fillId="0" borderId="0" xfId="0" applyNumberFormat="1" applyFont="1" applyFill="1" applyBorder="1" applyAlignment="1">
      <alignment horizontal="center" vertical="center"/>
    </xf>
    <xf numFmtId="0" fontId="5" fillId="0" borderId="0" xfId="0" applyFont="1" applyFill="1" applyBorder="1" applyAlignment="1">
      <alignment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0" borderId="0" xfId="0" applyFont="1" applyAlignment="1">
      <alignment horizontal="center" vertical="center"/>
    </xf>
    <xf numFmtId="0" fontId="7" fillId="0" borderId="0" xfId="0" applyFont="1" applyAlignment="1">
      <alignment vertical="center"/>
    </xf>
    <xf numFmtId="49" fontId="5" fillId="2" borderId="4" xfId="0" applyNumberFormat="1" applyFont="1" applyFill="1" applyBorder="1" applyAlignment="1">
      <alignment horizontal="center" vertical="center"/>
    </xf>
    <xf numFmtId="166" fontId="5" fillId="0" borderId="0" xfId="0" applyNumberFormat="1" applyFont="1" applyAlignment="1">
      <alignment vertical="center"/>
    </xf>
    <xf numFmtId="166" fontId="4" fillId="0" borderId="0" xfId="0" applyNumberFormat="1" applyFont="1" applyFill="1" applyBorder="1" applyAlignment="1">
      <alignment vertical="center"/>
    </xf>
    <xf numFmtId="4" fontId="4" fillId="0" borderId="0" xfId="0" applyNumberFormat="1" applyFont="1" applyAlignment="1">
      <alignment vertical="center"/>
    </xf>
    <xf numFmtId="1" fontId="4" fillId="2" borderId="2" xfId="0" applyNumberFormat="1" applyFont="1" applyFill="1" applyBorder="1" applyAlignment="1">
      <alignment horizontal="center" vertical="center"/>
    </xf>
    <xf numFmtId="1" fontId="4" fillId="2" borderId="2" xfId="0" applyNumberFormat="1" applyFont="1" applyFill="1" applyBorder="1" applyAlignment="1" applyProtection="1">
      <alignment horizontal="center" vertical="center"/>
    </xf>
    <xf numFmtId="0" fontId="0" fillId="0" borderId="11" xfId="0" applyBorder="1"/>
    <xf numFmtId="0" fontId="0" fillId="0" borderId="12" xfId="0" applyBorder="1"/>
    <xf numFmtId="0" fontId="0" fillId="0" borderId="0" xfId="0" applyBorder="1"/>
    <xf numFmtId="0" fontId="4" fillId="0" borderId="0" xfId="0" applyFont="1" applyFill="1" applyAlignment="1">
      <alignment vertical="center"/>
    </xf>
    <xf numFmtId="0" fontId="9" fillId="0" borderId="0" xfId="0" applyFont="1" applyAlignment="1">
      <alignment horizontal="center" vertical="center"/>
    </xf>
    <xf numFmtId="0" fontId="4" fillId="0" borderId="13" xfId="0" applyFont="1" applyBorder="1" applyAlignment="1">
      <alignment vertical="center"/>
    </xf>
    <xf numFmtId="0" fontId="4" fillId="0" borderId="5" xfId="0" applyFont="1" applyBorder="1" applyAlignment="1">
      <alignment vertical="center"/>
    </xf>
    <xf numFmtId="0" fontId="13" fillId="0" borderId="0" xfId="0" applyFont="1" applyAlignment="1">
      <alignment vertical="center"/>
    </xf>
    <xf numFmtId="0" fontId="12" fillId="0" borderId="0" xfId="0" applyFont="1" applyAlignment="1"/>
    <xf numFmtId="0" fontId="12" fillId="0" borderId="0" xfId="0" applyFont="1" applyAlignment="1">
      <alignment horizontal="right"/>
    </xf>
    <xf numFmtId="0" fontId="13" fillId="0" borderId="0" xfId="0" applyFont="1" applyFill="1" applyBorder="1" applyAlignment="1">
      <alignment vertical="center"/>
    </xf>
    <xf numFmtId="0" fontId="12" fillId="0" borderId="0" xfId="0" applyFont="1" applyFill="1" applyBorder="1" applyAlignment="1">
      <alignment vertical="center"/>
    </xf>
    <xf numFmtId="0" fontId="12" fillId="0" borderId="14" xfId="0" applyFont="1" applyBorder="1" applyAlignment="1">
      <alignment vertical="center"/>
    </xf>
    <xf numFmtId="165" fontId="13" fillId="0" borderId="0" xfId="0" applyNumberFormat="1" applyFont="1" applyFill="1" applyBorder="1" applyAlignment="1">
      <alignment horizontal="center" vertical="center"/>
    </xf>
    <xf numFmtId="166" fontId="13" fillId="0" borderId="0" xfId="0" applyNumberFormat="1" applyFont="1" applyFill="1" applyBorder="1" applyAlignment="1">
      <alignment vertical="center"/>
    </xf>
    <xf numFmtId="166" fontId="13" fillId="0" borderId="0" xfId="0" applyNumberFormat="1" applyFont="1" applyFill="1" applyBorder="1" applyAlignment="1">
      <alignment horizontal="center" vertical="center"/>
    </xf>
    <xf numFmtId="10" fontId="12" fillId="0" borderId="0" xfId="0" applyNumberFormat="1" applyFont="1" applyFill="1" applyBorder="1" applyAlignment="1">
      <alignment vertical="center"/>
    </xf>
    <xf numFmtId="166" fontId="12" fillId="0" borderId="0" xfId="0" applyNumberFormat="1" applyFont="1" applyFill="1" applyBorder="1" applyAlignment="1">
      <alignment vertical="center"/>
    </xf>
    <xf numFmtId="166" fontId="12" fillId="0" borderId="0" xfId="0" applyNumberFormat="1" applyFont="1" applyBorder="1" applyAlignment="1">
      <alignment vertical="center"/>
    </xf>
    <xf numFmtId="10" fontId="12" fillId="0" borderId="0" xfId="0" applyNumberFormat="1" applyFont="1" applyFill="1" applyBorder="1" applyAlignment="1">
      <alignment horizontal="center" vertical="center"/>
    </xf>
    <xf numFmtId="0" fontId="12" fillId="0" borderId="0" xfId="0" applyFont="1" applyBorder="1" applyAlignment="1">
      <alignment vertical="center"/>
    </xf>
    <xf numFmtId="0" fontId="13" fillId="0" borderId="0" xfId="0" applyFont="1" applyBorder="1" applyAlignment="1">
      <alignment vertical="center"/>
    </xf>
    <xf numFmtId="0" fontId="13" fillId="0" borderId="0" xfId="0" applyFont="1" applyAlignment="1">
      <alignment horizontal="center" vertical="center"/>
    </xf>
    <xf numFmtId="0" fontId="12" fillId="3" borderId="15" xfId="0" applyFont="1" applyFill="1" applyBorder="1" applyAlignment="1">
      <alignment vertical="center"/>
    </xf>
    <xf numFmtId="0" fontId="13" fillId="3" borderId="14" xfId="0" applyFont="1" applyFill="1" applyBorder="1" applyAlignment="1">
      <alignment vertical="center"/>
    </xf>
    <xf numFmtId="165" fontId="13" fillId="0" borderId="0" xfId="0" applyNumberFormat="1" applyFont="1" applyBorder="1" applyAlignment="1">
      <alignment vertical="center"/>
    </xf>
    <xf numFmtId="0" fontId="12" fillId="0" borderId="6" xfId="0" applyFont="1" applyBorder="1" applyAlignment="1">
      <alignment vertical="center"/>
    </xf>
    <xf numFmtId="166" fontId="12" fillId="0" borderId="0" xfId="0" applyNumberFormat="1" applyFont="1" applyAlignment="1">
      <alignment vertical="center"/>
    </xf>
    <xf numFmtId="0" fontId="12" fillId="0" borderId="16" xfId="0" applyFont="1" applyBorder="1" applyAlignment="1">
      <alignment vertical="center"/>
    </xf>
    <xf numFmtId="0" fontId="12" fillId="0" borderId="17" xfId="0" applyFont="1" applyBorder="1" applyAlignment="1">
      <alignment vertical="center"/>
    </xf>
    <xf numFmtId="0" fontId="13" fillId="0" borderId="0" xfId="0" applyFont="1" applyBorder="1" applyAlignment="1">
      <alignment horizontal="left" vertical="center" wrapText="1"/>
    </xf>
    <xf numFmtId="0" fontId="12" fillId="0" borderId="0" xfId="0" applyFont="1" applyBorder="1" applyAlignment="1">
      <alignment horizontal="left" vertical="center" wrapText="1"/>
    </xf>
    <xf numFmtId="0" fontId="13" fillId="0" borderId="0" xfId="0" applyFont="1" applyAlignment="1">
      <alignment horizontal="left" vertical="center"/>
    </xf>
    <xf numFmtId="10" fontId="13" fillId="0" borderId="0" xfId="0" applyNumberFormat="1" applyFont="1" applyAlignment="1">
      <alignment horizontal="center" vertical="center"/>
    </xf>
    <xf numFmtId="0" fontId="13" fillId="0" borderId="18" xfId="0" applyFont="1" applyBorder="1" applyAlignment="1">
      <alignment vertical="center"/>
    </xf>
    <xf numFmtId="0" fontId="14" fillId="0" borderId="0" xfId="0" applyFont="1" applyBorder="1" applyAlignment="1">
      <alignment vertical="center"/>
    </xf>
    <xf numFmtId="0" fontId="12" fillId="0" borderId="0" xfId="0" applyFont="1" applyBorder="1" applyAlignment="1">
      <alignment horizontal="center" vertical="center"/>
    </xf>
    <xf numFmtId="10" fontId="13" fillId="0" borderId="0" xfId="0" applyNumberFormat="1" applyFont="1" applyFill="1" applyBorder="1" applyAlignment="1">
      <alignment vertical="center"/>
    </xf>
    <xf numFmtId="0" fontId="5" fillId="0" borderId="0" xfId="0" applyNumberFormat="1" applyFont="1" applyFill="1" applyBorder="1" applyAlignment="1">
      <alignment horizontal="center" vertical="center" wrapText="1" shrinkToFit="1"/>
    </xf>
    <xf numFmtId="10" fontId="3" fillId="0" borderId="0" xfId="0" applyNumberFormat="1" applyFont="1" applyAlignment="1">
      <alignment horizontal="right" vertical="center"/>
    </xf>
    <xf numFmtId="0" fontId="4" fillId="0" borderId="0" xfId="0" applyFont="1" applyBorder="1" applyAlignment="1">
      <alignment vertical="center"/>
    </xf>
    <xf numFmtId="0" fontId="4" fillId="0" borderId="19" xfId="0" applyFont="1" applyBorder="1" applyAlignment="1">
      <alignment vertical="center"/>
    </xf>
    <xf numFmtId="10" fontId="4" fillId="0" borderId="19" xfId="0" applyNumberFormat="1" applyFont="1" applyBorder="1" applyAlignment="1">
      <alignment vertical="center"/>
    </xf>
    <xf numFmtId="0" fontId="5" fillId="0" borderId="0" xfId="0" applyFont="1" applyFill="1" applyBorder="1" applyAlignment="1">
      <alignment horizontal="center" vertical="center"/>
    </xf>
    <xf numFmtId="0" fontId="4" fillId="0" borderId="6" xfId="0" applyFont="1" applyBorder="1" applyAlignment="1">
      <alignment vertical="center"/>
    </xf>
    <xf numFmtId="0" fontId="4" fillId="0" borderId="0" xfId="0" applyFont="1" applyAlignment="1">
      <alignment horizontal="left" vertical="center"/>
    </xf>
    <xf numFmtId="0" fontId="18" fillId="0" borderId="0" xfId="0" applyFont="1" applyBorder="1" applyAlignment="1">
      <alignment horizontal="center" wrapText="1"/>
    </xf>
    <xf numFmtId="0" fontId="9" fillId="0" borderId="0" xfId="0" applyFont="1" applyBorder="1" applyAlignment="1">
      <alignment horizontal="center" vertical="center"/>
    </xf>
    <xf numFmtId="0" fontId="0" fillId="0" borderId="13" xfId="0" applyBorder="1"/>
    <xf numFmtId="49" fontId="4" fillId="0" borderId="13" xfId="0" applyNumberFormat="1" applyFont="1" applyBorder="1" applyAlignment="1">
      <alignment horizontal="center" vertical="center"/>
    </xf>
    <xf numFmtId="0" fontId="4" fillId="0" borderId="13" xfId="0" applyFont="1" applyFill="1" applyBorder="1" applyAlignment="1">
      <alignment vertical="center"/>
    </xf>
    <xf numFmtId="0" fontId="4" fillId="0" borderId="0" xfId="0" applyFont="1" applyFill="1" applyBorder="1" applyAlignment="1" applyProtection="1">
      <alignment vertical="center"/>
    </xf>
    <xf numFmtId="0" fontId="4" fillId="0" borderId="0" xfId="0" applyFont="1" applyAlignment="1" applyProtection="1">
      <alignment vertical="center"/>
    </xf>
    <xf numFmtId="165" fontId="7" fillId="0" borderId="0" xfId="0" applyNumberFormat="1" applyFont="1" applyFill="1" applyBorder="1" applyAlignment="1" applyProtection="1">
      <alignment horizontal="center" vertical="center"/>
    </xf>
    <xf numFmtId="4" fontId="4" fillId="2" borderId="3" xfId="0" applyNumberFormat="1" applyFont="1" applyFill="1" applyBorder="1" applyAlignment="1">
      <alignment horizontal="center" vertical="center"/>
    </xf>
    <xf numFmtId="4" fontId="4" fillId="2" borderId="20" xfId="0" applyNumberFormat="1" applyFont="1" applyFill="1" applyBorder="1" applyAlignment="1">
      <alignment horizontal="center" vertical="center"/>
    </xf>
    <xf numFmtId="1" fontId="4" fillId="2" borderId="2" xfId="0" applyNumberFormat="1" applyFont="1" applyFill="1" applyBorder="1" applyAlignment="1">
      <alignment horizontal="left" vertical="center"/>
    </xf>
    <xf numFmtId="4" fontId="5" fillId="2" borderId="22" xfId="0" applyNumberFormat="1" applyFont="1" applyFill="1" applyBorder="1" applyAlignment="1">
      <alignment horizontal="center" vertical="center"/>
    </xf>
    <xf numFmtId="0" fontId="4" fillId="0" borderId="13" xfId="0" applyFont="1" applyBorder="1" applyAlignment="1">
      <alignment horizontal="center" vertical="center"/>
    </xf>
    <xf numFmtId="8" fontId="4" fillId="0" borderId="0" xfId="0" applyNumberFormat="1" applyFont="1" applyFill="1" applyBorder="1" applyAlignment="1">
      <alignment vertical="center"/>
    </xf>
    <xf numFmtId="8" fontId="4" fillId="0" borderId="0" xfId="0" applyNumberFormat="1" applyFont="1" applyAlignment="1">
      <alignment vertical="center"/>
    </xf>
    <xf numFmtId="0" fontId="20" fillId="0" borderId="0" xfId="0" applyFont="1" applyFill="1" applyBorder="1" applyAlignment="1">
      <alignment vertical="center" shrinkToFit="1"/>
    </xf>
    <xf numFmtId="0" fontId="20" fillId="0" borderId="0" xfId="0" applyFont="1" applyFill="1" applyBorder="1" applyAlignment="1">
      <alignment vertical="center"/>
    </xf>
    <xf numFmtId="0" fontId="20" fillId="0" borderId="0" xfId="0" applyFont="1" applyBorder="1" applyAlignment="1">
      <alignment vertical="center"/>
    </xf>
    <xf numFmtId="10" fontId="4" fillId="0" borderId="0" xfId="0" applyNumberFormat="1" applyFont="1" applyAlignment="1">
      <alignment vertical="center"/>
    </xf>
    <xf numFmtId="10" fontId="20" fillId="0" borderId="0" xfId="0" applyNumberFormat="1" applyFont="1" applyFill="1" applyBorder="1" applyAlignment="1" applyProtection="1">
      <alignment vertical="center"/>
    </xf>
    <xf numFmtId="165" fontId="20" fillId="0" borderId="0" xfId="0" applyNumberFormat="1" applyFont="1" applyFill="1" applyBorder="1" applyAlignment="1" applyProtection="1">
      <alignment vertical="center"/>
    </xf>
    <xf numFmtId="0" fontId="4" fillId="0" borderId="0" xfId="0" applyFont="1" applyBorder="1" applyAlignment="1" applyProtection="1">
      <alignment vertical="center"/>
    </xf>
    <xf numFmtId="166"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horizontal="center" vertical="center"/>
    </xf>
    <xf numFmtId="0" fontId="4" fillId="0" borderId="0" xfId="0" applyNumberFormat="1" applyFont="1" applyFill="1" applyBorder="1" applyAlignment="1" applyProtection="1">
      <alignment horizontal="center" vertical="center"/>
    </xf>
    <xf numFmtId="0" fontId="11" fillId="0" borderId="0" xfId="0" applyFont="1" applyFill="1" applyBorder="1" applyAlignment="1" applyProtection="1">
      <alignment vertical="center"/>
    </xf>
    <xf numFmtId="165"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horizontal="left" vertical="center"/>
    </xf>
    <xf numFmtId="0" fontId="4" fillId="0" borderId="0" xfId="0" applyFont="1" applyBorder="1" applyAlignment="1" applyProtection="1">
      <alignment horizontal="center" vertical="center"/>
    </xf>
    <xf numFmtId="166" fontId="4" fillId="0" borderId="0" xfId="0" applyNumberFormat="1" applyFont="1" applyFill="1" applyBorder="1" applyAlignment="1" applyProtection="1">
      <alignment vertical="center"/>
    </xf>
    <xf numFmtId="166" fontId="19" fillId="0" borderId="0" xfId="0" applyNumberFormat="1" applyFont="1" applyFill="1" applyBorder="1" applyAlignment="1" applyProtection="1">
      <alignment vertical="center"/>
    </xf>
    <xf numFmtId="49"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vertical="center"/>
      <protection hidden="1"/>
    </xf>
    <xf numFmtId="0" fontId="23" fillId="0" borderId="23" xfId="0" applyFont="1" applyBorder="1"/>
    <xf numFmtId="0" fontId="23" fillId="0" borderId="0" xfId="0" applyFont="1"/>
    <xf numFmtId="4" fontId="4" fillId="0" borderId="24" xfId="0" applyNumberFormat="1" applyFont="1" applyFill="1" applyBorder="1" applyAlignment="1" applyProtection="1">
      <alignment horizontal="right" vertical="center"/>
      <protection hidden="1"/>
    </xf>
    <xf numFmtId="0" fontId="23" fillId="0" borderId="11" xfId="0" applyFont="1" applyBorder="1"/>
    <xf numFmtId="0" fontId="23" fillId="0" borderId="0" xfId="0" applyFont="1" applyBorder="1"/>
    <xf numFmtId="165" fontId="4" fillId="0" borderId="0" xfId="0" applyNumberFormat="1" applyFont="1" applyFill="1" applyBorder="1" applyAlignment="1" applyProtection="1">
      <alignment vertical="center"/>
      <protection hidden="1"/>
    </xf>
    <xf numFmtId="0" fontId="23" fillId="0" borderId="24" xfId="0" applyFont="1" applyBorder="1"/>
    <xf numFmtId="0" fontId="4" fillId="0" borderId="24" xfId="0" applyFont="1" applyBorder="1" applyAlignment="1">
      <alignment vertical="center"/>
    </xf>
    <xf numFmtId="10" fontId="4" fillId="0" borderId="11" xfId="0" applyNumberFormat="1" applyFont="1" applyBorder="1" applyAlignment="1">
      <alignment vertical="center"/>
    </xf>
    <xf numFmtId="0" fontId="4" fillId="0" borderId="25" xfId="0" applyFont="1" applyBorder="1" applyAlignment="1">
      <alignment vertical="center"/>
    </xf>
    <xf numFmtId="10" fontId="4" fillId="0" borderId="26" xfId="0" applyNumberFormat="1" applyFont="1" applyBorder="1" applyAlignment="1">
      <alignment vertical="center"/>
    </xf>
    <xf numFmtId="0" fontId="23" fillId="0" borderId="27" xfId="0" applyFont="1" applyBorder="1"/>
    <xf numFmtId="0" fontId="20" fillId="0" borderId="0" xfId="0" applyFont="1" applyFill="1" applyBorder="1" applyAlignment="1" applyProtection="1">
      <alignment vertical="center"/>
    </xf>
    <xf numFmtId="166" fontId="20" fillId="0" borderId="0" xfId="0" applyNumberFormat="1" applyFont="1" applyFill="1" applyBorder="1" applyAlignment="1" applyProtection="1">
      <alignment vertical="center"/>
    </xf>
    <xf numFmtId="0" fontId="4" fillId="0" borderId="0" xfId="0" applyFont="1" applyAlignment="1" applyProtection="1">
      <alignment vertical="center"/>
      <protection hidden="1"/>
    </xf>
    <xf numFmtId="0" fontId="9" fillId="0" borderId="0" xfId="0" applyFont="1" applyAlignment="1" applyProtection="1">
      <alignment horizontal="center" vertical="center"/>
      <protection hidden="1"/>
    </xf>
    <xf numFmtId="0" fontId="9" fillId="0" borderId="0" xfId="0" applyFont="1" applyAlignment="1" applyProtection="1">
      <alignment vertical="center"/>
      <protection hidden="1"/>
    </xf>
    <xf numFmtId="0" fontId="4" fillId="0" borderId="0" xfId="0" applyFont="1" applyProtection="1">
      <protection hidden="1"/>
    </xf>
    <xf numFmtId="4" fontId="8" fillId="0" borderId="0" xfId="0" applyNumberFormat="1" applyFont="1" applyProtection="1">
      <protection hidden="1"/>
    </xf>
    <xf numFmtId="4" fontId="5" fillId="0" borderId="0" xfId="0" applyNumberFormat="1" applyFont="1" applyProtection="1">
      <protection hidden="1"/>
    </xf>
    <xf numFmtId="165" fontId="5" fillId="0" borderId="0" xfId="0" applyNumberFormat="1" applyFont="1" applyProtection="1">
      <protection hidden="1"/>
    </xf>
    <xf numFmtId="4" fontId="4" fillId="0" borderId="0" xfId="0" applyNumberFormat="1" applyFont="1" applyProtection="1">
      <protection hidden="1"/>
    </xf>
    <xf numFmtId="4" fontId="5" fillId="0" borderId="28" xfId="0" applyNumberFormat="1" applyFont="1" applyBorder="1" applyAlignment="1" applyProtection="1">
      <alignment vertical="justify"/>
      <protection hidden="1"/>
    </xf>
    <xf numFmtId="4" fontId="5" fillId="0" borderId="29" xfId="0" applyNumberFormat="1" applyFont="1" applyBorder="1" applyAlignment="1" applyProtection="1">
      <alignment horizontal="center" vertical="center" wrapText="1"/>
      <protection hidden="1"/>
    </xf>
    <xf numFmtId="4" fontId="5" fillId="0" borderId="30" xfId="0" applyNumberFormat="1" applyFont="1" applyBorder="1" applyAlignment="1" applyProtection="1">
      <alignment horizontal="center" vertical="center" wrapText="1"/>
      <protection hidden="1"/>
    </xf>
    <xf numFmtId="4" fontId="5" fillId="0" borderId="31" xfId="0" applyNumberFormat="1" applyFont="1" applyBorder="1" applyAlignment="1" applyProtection="1">
      <alignment horizontal="center" vertical="center" wrapText="1"/>
      <protection hidden="1"/>
    </xf>
    <xf numFmtId="0" fontId="5" fillId="0" borderId="32" xfId="0" applyFont="1" applyBorder="1" applyAlignment="1" applyProtection="1">
      <alignment horizontal="center" vertical="center" wrapText="1"/>
      <protection hidden="1"/>
    </xf>
    <xf numFmtId="0" fontId="5" fillId="0" borderId="0" xfId="0" applyFont="1" applyBorder="1" applyAlignment="1" applyProtection="1">
      <alignment horizontal="center" vertical="center" wrapText="1"/>
      <protection hidden="1"/>
    </xf>
    <xf numFmtId="1" fontId="5" fillId="0" borderId="0" xfId="0" applyNumberFormat="1" applyFont="1" applyBorder="1" applyAlignment="1" applyProtection="1">
      <alignment horizontal="center" vertical="justify"/>
      <protection hidden="1"/>
    </xf>
    <xf numFmtId="4" fontId="5" fillId="0" borderId="0" xfId="0" applyNumberFormat="1" applyFont="1" applyBorder="1" applyProtection="1">
      <protection hidden="1"/>
    </xf>
    <xf numFmtId="0" fontId="4" fillId="0" borderId="13" xfId="0" applyFont="1" applyBorder="1" applyAlignment="1" applyProtection="1">
      <alignment vertical="center"/>
      <protection hidden="1"/>
    </xf>
    <xf numFmtId="10" fontId="8" fillId="0" borderId="0" xfId="0" applyNumberFormat="1" applyFont="1" applyProtection="1">
      <protection hidden="1"/>
    </xf>
    <xf numFmtId="0" fontId="12" fillId="0" borderId="0" xfId="0" applyFont="1" applyAlignment="1">
      <alignment vertical="center"/>
    </xf>
    <xf numFmtId="168" fontId="20" fillId="0" borderId="0" xfId="0" applyNumberFormat="1" applyFont="1" applyFill="1" applyBorder="1" applyAlignment="1" applyProtection="1">
      <alignment horizontal="center" vertical="center"/>
    </xf>
    <xf numFmtId="166" fontId="13" fillId="0" borderId="0" xfId="0" applyNumberFormat="1" applyFont="1" applyAlignment="1">
      <alignment vertical="center"/>
    </xf>
    <xf numFmtId="1" fontId="20" fillId="5" borderId="35" xfId="0" applyNumberFormat="1" applyFont="1" applyFill="1" applyBorder="1" applyAlignment="1" applyProtection="1">
      <alignment horizontal="center" vertical="center"/>
    </xf>
    <xf numFmtId="1" fontId="20" fillId="5" borderId="36" xfId="0" applyNumberFormat="1" applyFont="1" applyFill="1" applyBorder="1" applyAlignment="1" applyProtection="1">
      <alignment horizontal="center" vertical="center"/>
    </xf>
    <xf numFmtId="0" fontId="20" fillId="0" borderId="35" xfId="0" applyFont="1" applyBorder="1" applyAlignment="1">
      <alignment horizontal="center" vertical="center"/>
    </xf>
    <xf numFmtId="0" fontId="20" fillId="0" borderId="34" xfId="0" applyFont="1" applyBorder="1" applyAlignment="1">
      <alignment horizontal="center" vertical="center"/>
    </xf>
    <xf numFmtId="169" fontId="25" fillId="0" borderId="19" xfId="0" applyNumberFormat="1" applyFont="1" applyFill="1" applyBorder="1" applyAlignment="1">
      <alignment horizontal="center" vertical="center"/>
    </xf>
    <xf numFmtId="0" fontId="12" fillId="0" borderId="0" xfId="0" applyFont="1" applyFill="1" applyBorder="1" applyAlignment="1">
      <alignment horizontal="justify" vertical="center"/>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7" fillId="0" borderId="19" xfId="0" applyFont="1" applyBorder="1" applyAlignment="1">
      <alignment horizontal="center" vertical="center"/>
    </xf>
    <xf numFmtId="1" fontId="25" fillId="0" borderId="19" xfId="0" applyNumberFormat="1" applyFont="1" applyBorder="1" applyAlignment="1">
      <alignment horizontal="center" vertical="center"/>
    </xf>
    <xf numFmtId="169" fontId="25" fillId="0" borderId="19" xfId="0" applyNumberFormat="1" applyFont="1" applyBorder="1" applyAlignment="1">
      <alignment horizontal="center" vertical="center"/>
    </xf>
    <xf numFmtId="0" fontId="25" fillId="0" borderId="0" xfId="0" applyFont="1" applyAlignment="1">
      <alignment vertical="center"/>
    </xf>
    <xf numFmtId="4" fontId="5" fillId="0" borderId="39" xfId="0" applyNumberFormat="1" applyFont="1" applyBorder="1" applyAlignment="1" applyProtection="1">
      <alignment horizontal="left" vertical="center"/>
      <protection hidden="1"/>
    </xf>
    <xf numFmtId="4" fontId="5" fillId="0" borderId="40" xfId="0" applyNumberFormat="1" applyFont="1" applyBorder="1" applyAlignment="1" applyProtection="1">
      <alignment horizontal="left" vertical="center"/>
      <protection hidden="1"/>
    </xf>
    <xf numFmtId="4" fontId="5" fillId="0" borderId="41" xfId="0" applyNumberFormat="1" applyFont="1" applyBorder="1" applyAlignment="1" applyProtection="1">
      <alignment horizontal="left" vertical="center"/>
      <protection hidden="1"/>
    </xf>
    <xf numFmtId="4" fontId="5" fillId="0" borderId="28" xfId="0" applyNumberFormat="1" applyFont="1" applyBorder="1" applyAlignment="1" applyProtection="1">
      <alignment horizontal="left" vertical="center"/>
      <protection hidden="1"/>
    </xf>
    <xf numFmtId="165" fontId="5" fillId="0" borderId="42" xfId="0" applyNumberFormat="1" applyFont="1" applyBorder="1" applyAlignment="1" applyProtection="1">
      <alignment horizontal="left" vertical="center"/>
      <protection hidden="1"/>
    </xf>
    <xf numFmtId="1" fontId="5" fillId="0" borderId="43" xfId="0" applyNumberFormat="1" applyFont="1" applyBorder="1" applyAlignment="1" applyProtection="1">
      <alignment horizontal="left" vertical="center"/>
      <protection hidden="1"/>
    </xf>
    <xf numFmtId="1" fontId="5" fillId="0" borderId="44" xfId="0" applyNumberFormat="1" applyFont="1" applyBorder="1" applyAlignment="1" applyProtection="1">
      <alignment horizontal="center" vertical="center"/>
      <protection hidden="1"/>
    </xf>
    <xf numFmtId="1" fontId="5" fillId="0" borderId="30" xfId="0" applyNumberFormat="1" applyFont="1" applyBorder="1" applyAlignment="1" applyProtection="1">
      <alignment horizontal="center" vertical="center"/>
      <protection hidden="1"/>
    </xf>
    <xf numFmtId="1" fontId="5" fillId="0" borderId="32" xfId="0" applyNumberFormat="1" applyFont="1" applyBorder="1" applyAlignment="1" applyProtection="1">
      <alignment horizontal="center" vertical="center"/>
      <protection hidden="1"/>
    </xf>
    <xf numFmtId="4" fontId="4" fillId="0" borderId="45" xfId="0" applyNumberFormat="1" applyFont="1" applyBorder="1" applyAlignment="1" applyProtection="1">
      <alignment horizontal="center" vertical="center"/>
      <protection hidden="1"/>
    </xf>
    <xf numFmtId="4" fontId="4" fillId="0" borderId="46" xfId="0" applyNumberFormat="1" applyFont="1" applyBorder="1" applyAlignment="1" applyProtection="1">
      <alignment horizontal="center" vertical="center"/>
      <protection hidden="1"/>
    </xf>
    <xf numFmtId="4" fontId="5" fillId="0" borderId="47" xfId="0" applyNumberFormat="1" applyFont="1" applyBorder="1" applyAlignment="1" applyProtection="1">
      <alignment horizontal="center" vertical="center"/>
      <protection hidden="1"/>
    </xf>
    <xf numFmtId="4" fontId="5" fillId="0" borderId="46" xfId="0" applyNumberFormat="1" applyFont="1" applyBorder="1" applyAlignment="1" applyProtection="1">
      <alignment horizontal="center" vertical="center"/>
      <protection hidden="1"/>
    </xf>
    <xf numFmtId="4" fontId="4" fillId="0" borderId="48" xfId="0" applyNumberFormat="1" applyFont="1" applyBorder="1" applyAlignment="1" applyProtection="1">
      <alignment horizontal="center" vertical="center"/>
      <protection hidden="1"/>
    </xf>
    <xf numFmtId="4" fontId="4" fillId="0" borderId="19" xfId="0" applyNumberFormat="1" applyFont="1" applyBorder="1" applyAlignment="1" applyProtection="1">
      <alignment horizontal="center" vertical="center"/>
      <protection hidden="1"/>
    </xf>
    <xf numFmtId="4" fontId="5" fillId="0" borderId="49" xfId="0" applyNumberFormat="1" applyFont="1" applyBorder="1" applyAlignment="1" applyProtection="1">
      <alignment horizontal="center" vertical="center"/>
      <protection hidden="1"/>
    </xf>
    <xf numFmtId="4" fontId="5" fillId="0" borderId="19" xfId="0" applyNumberFormat="1" applyFont="1" applyBorder="1" applyAlignment="1" applyProtection="1">
      <alignment horizontal="center" vertical="center"/>
      <protection hidden="1"/>
    </xf>
    <xf numFmtId="4" fontId="4" fillId="0" borderId="50" xfId="0" applyNumberFormat="1" applyFont="1" applyBorder="1" applyAlignment="1" applyProtection="1">
      <alignment horizontal="center" vertical="center"/>
      <protection hidden="1"/>
    </xf>
    <xf numFmtId="4" fontId="4" fillId="0" borderId="51" xfId="0" applyNumberFormat="1" applyFont="1" applyBorder="1" applyAlignment="1" applyProtection="1">
      <alignment horizontal="center" vertical="center"/>
      <protection hidden="1"/>
    </xf>
    <xf numFmtId="4" fontId="5" fillId="0" borderId="52" xfId="0" applyNumberFormat="1" applyFont="1" applyBorder="1" applyAlignment="1" applyProtection="1">
      <alignment horizontal="center" vertical="center"/>
      <protection hidden="1"/>
    </xf>
    <xf numFmtId="4" fontId="5" fillId="0" borderId="51" xfId="0" applyNumberFormat="1" applyFont="1" applyBorder="1" applyAlignment="1" applyProtection="1">
      <alignment horizontal="center" vertical="center"/>
      <protection hidden="1"/>
    </xf>
    <xf numFmtId="4" fontId="5" fillId="0" borderId="44" xfId="0" applyNumberFormat="1" applyFont="1" applyBorder="1" applyAlignment="1" applyProtection="1">
      <alignment horizontal="center" vertical="center"/>
      <protection hidden="1"/>
    </xf>
    <xf numFmtId="4" fontId="5" fillId="0" borderId="30" xfId="0" applyNumberFormat="1" applyFont="1" applyBorder="1" applyAlignment="1" applyProtection="1">
      <alignment horizontal="center" vertical="center"/>
      <protection hidden="1"/>
    </xf>
    <xf numFmtId="4" fontId="5" fillId="0" borderId="35" xfId="0" applyNumberFormat="1" applyFont="1" applyBorder="1" applyAlignment="1" applyProtection="1">
      <alignment horizontal="center" vertical="center"/>
      <protection hidden="1"/>
    </xf>
    <xf numFmtId="4" fontId="5" fillId="0" borderId="32" xfId="0" applyNumberFormat="1" applyFont="1" applyBorder="1" applyAlignment="1" applyProtection="1">
      <alignment horizontal="center" vertical="center"/>
      <protection hidden="1"/>
    </xf>
    <xf numFmtId="1" fontId="5" fillId="0" borderId="28" xfId="0" applyNumberFormat="1" applyFont="1" applyBorder="1" applyAlignment="1" applyProtection="1">
      <alignment horizontal="center" vertical="center"/>
      <protection hidden="1"/>
    </xf>
    <xf numFmtId="10" fontId="25" fillId="0" borderId="19" xfId="0" applyNumberFormat="1" applyFont="1" applyBorder="1" applyAlignment="1">
      <alignment horizontal="center" vertical="center"/>
    </xf>
    <xf numFmtId="166" fontId="19" fillId="0" borderId="0" xfId="0" applyNumberFormat="1" applyFont="1" applyFill="1" applyBorder="1" applyAlignment="1" applyProtection="1">
      <alignment horizontal="center" vertical="center"/>
    </xf>
    <xf numFmtId="1" fontId="30" fillId="0" borderId="35" xfId="0" applyNumberFormat="1" applyFont="1" applyFill="1" applyBorder="1" applyAlignment="1" applyProtection="1">
      <alignment horizontal="center" vertical="center"/>
      <protection locked="0"/>
    </xf>
    <xf numFmtId="0" fontId="0" fillId="0" borderId="0" xfId="0" applyAlignment="1">
      <alignment horizontal="center" vertical="center"/>
    </xf>
    <xf numFmtId="0" fontId="32" fillId="0" borderId="0" xfId="0" applyFont="1" applyAlignment="1">
      <alignment vertical="center"/>
    </xf>
    <xf numFmtId="0" fontId="3" fillId="0" borderId="0" xfId="0" applyFont="1" applyBorder="1" applyAlignment="1">
      <alignment horizontal="center" textRotation="90" wrapText="1"/>
    </xf>
    <xf numFmtId="0" fontId="4" fillId="0" borderId="0" xfId="0" applyFont="1" applyAlignment="1">
      <alignment vertical="center" wrapText="1"/>
    </xf>
    <xf numFmtId="0" fontId="4" fillId="0" borderId="0" xfId="0" applyNumberFormat="1" applyFont="1" applyAlignment="1">
      <alignment vertical="center"/>
    </xf>
    <xf numFmtId="0" fontId="12" fillId="0" borderId="77" xfId="0" applyFont="1" applyBorder="1" applyAlignment="1">
      <alignment vertical="center"/>
    </xf>
    <xf numFmtId="0" fontId="35" fillId="0" borderId="0" xfId="0" applyFont="1" applyBorder="1" applyAlignment="1">
      <alignment horizontal="center" vertical="center" wrapText="1"/>
    </xf>
    <xf numFmtId="165" fontId="8" fillId="0" borderId="0" xfId="0" applyNumberFormat="1" applyFont="1" applyFill="1" applyBorder="1" applyAlignment="1" applyProtection="1">
      <alignment horizontal="center" vertical="center"/>
    </xf>
    <xf numFmtId="166" fontId="8" fillId="0" borderId="0" xfId="0" applyNumberFormat="1" applyFont="1" applyFill="1" applyBorder="1" applyAlignment="1" applyProtection="1">
      <alignment horizontal="center" vertical="center"/>
    </xf>
    <xf numFmtId="0" fontId="5" fillId="9" borderId="6" xfId="0" applyFont="1" applyFill="1" applyBorder="1" applyAlignment="1" applyProtection="1">
      <alignment vertical="center"/>
      <protection hidden="1"/>
    </xf>
    <xf numFmtId="0" fontId="5" fillId="9" borderId="0" xfId="0" applyFont="1" applyFill="1" applyBorder="1" applyAlignment="1" applyProtection="1">
      <alignment vertical="center"/>
      <protection hidden="1"/>
    </xf>
    <xf numFmtId="10" fontId="5" fillId="9" borderId="0" xfId="0" applyNumberFormat="1" applyFont="1" applyFill="1" applyBorder="1" applyAlignment="1" applyProtection="1">
      <alignment vertical="center"/>
      <protection hidden="1"/>
    </xf>
    <xf numFmtId="0" fontId="4" fillId="9" borderId="6" xfId="0" applyFont="1" applyFill="1" applyBorder="1" applyAlignment="1" applyProtection="1">
      <alignment vertical="center"/>
      <protection hidden="1"/>
    </xf>
    <xf numFmtId="0" fontId="4" fillId="9" borderId="0" xfId="0" applyFont="1" applyFill="1" applyBorder="1" applyAlignment="1" applyProtection="1">
      <alignment vertical="center"/>
      <protection hidden="1"/>
    </xf>
    <xf numFmtId="0" fontId="4" fillId="9" borderId="7" xfId="0" applyFont="1" applyFill="1" applyBorder="1" applyAlignment="1" applyProtection="1">
      <alignment vertical="center"/>
      <protection hidden="1"/>
    </xf>
    <xf numFmtId="166" fontId="4" fillId="9" borderId="0" xfId="0" applyNumberFormat="1" applyFont="1" applyFill="1" applyBorder="1" applyAlignment="1" applyProtection="1">
      <alignment vertical="center"/>
      <protection hidden="1"/>
    </xf>
    <xf numFmtId="10" fontId="4" fillId="9" borderId="0" xfId="0" applyNumberFormat="1" applyFont="1" applyFill="1" applyBorder="1" applyAlignment="1" applyProtection="1">
      <alignment horizontal="center" vertical="center"/>
      <protection hidden="1"/>
    </xf>
    <xf numFmtId="0" fontId="5" fillId="9" borderId="8" xfId="0" applyFont="1" applyFill="1" applyBorder="1" applyAlignment="1" applyProtection="1">
      <alignment vertical="center"/>
      <protection hidden="1"/>
    </xf>
    <xf numFmtId="0" fontId="4" fillId="9" borderId="1" xfId="0" applyFont="1" applyFill="1" applyBorder="1" applyAlignment="1" applyProtection="1">
      <alignment vertical="center"/>
      <protection hidden="1"/>
    </xf>
    <xf numFmtId="0" fontId="5" fillId="9" borderId="1" xfId="0" applyFont="1" applyFill="1" applyBorder="1" applyAlignment="1" applyProtection="1">
      <alignment vertical="center"/>
      <protection hidden="1"/>
    </xf>
    <xf numFmtId="165" fontId="5" fillId="9" borderId="0" xfId="0" applyNumberFormat="1" applyFont="1" applyFill="1" applyBorder="1" applyAlignment="1" applyProtection="1">
      <alignment vertical="center"/>
      <protection hidden="1"/>
    </xf>
    <xf numFmtId="165" fontId="5" fillId="9" borderId="7" xfId="0" applyNumberFormat="1" applyFont="1" applyFill="1" applyBorder="1" applyAlignment="1" applyProtection="1">
      <alignment vertical="center"/>
      <protection hidden="1"/>
    </xf>
    <xf numFmtId="0" fontId="5" fillId="9" borderId="0" xfId="0" applyFont="1" applyFill="1" applyBorder="1" applyAlignment="1" applyProtection="1">
      <alignment horizontal="left" vertical="center" wrapText="1"/>
      <protection hidden="1"/>
    </xf>
    <xf numFmtId="0" fontId="4" fillId="9" borderId="9" xfId="0" applyFont="1" applyFill="1" applyBorder="1" applyAlignment="1" applyProtection="1">
      <alignment vertical="center"/>
      <protection hidden="1"/>
    </xf>
    <xf numFmtId="0" fontId="4" fillId="9" borderId="10" xfId="0" applyFont="1" applyFill="1" applyBorder="1" applyAlignment="1" applyProtection="1">
      <alignment vertical="center"/>
      <protection hidden="1"/>
    </xf>
    <xf numFmtId="165" fontId="4" fillId="0" borderId="0" xfId="0" applyNumberFormat="1" applyFont="1" applyAlignment="1" applyProtection="1">
      <alignment vertical="center"/>
    </xf>
    <xf numFmtId="0" fontId="20" fillId="9" borderId="36" xfId="0" applyFont="1" applyFill="1" applyBorder="1" applyAlignment="1">
      <alignment horizontal="center" vertical="center"/>
    </xf>
    <xf numFmtId="0" fontId="5" fillId="9" borderId="53" xfId="0" applyFont="1" applyFill="1" applyBorder="1" applyAlignment="1" applyProtection="1">
      <alignment horizontal="center" vertical="center"/>
    </xf>
    <xf numFmtId="0" fontId="5" fillId="9" borderId="79" xfId="0" applyFont="1" applyFill="1" applyBorder="1" applyAlignment="1">
      <alignment horizontal="right"/>
    </xf>
    <xf numFmtId="14" fontId="5" fillId="9" borderId="79" xfId="0" applyNumberFormat="1" applyFont="1" applyFill="1" applyBorder="1" applyAlignment="1" applyProtection="1">
      <alignment horizontal="center"/>
      <protection locked="0"/>
    </xf>
    <xf numFmtId="4" fontId="5" fillId="2" borderId="3" xfId="0" applyNumberFormat="1" applyFont="1" applyFill="1" applyBorder="1" applyAlignment="1">
      <alignment horizontal="center" vertical="center"/>
    </xf>
    <xf numFmtId="4" fontId="5" fillId="2" borderId="21" xfId="0" applyNumberFormat="1" applyFont="1" applyFill="1" applyBorder="1" applyAlignment="1">
      <alignment horizontal="center" vertical="center"/>
    </xf>
    <xf numFmtId="10" fontId="5" fillId="2" borderId="3" xfId="0" applyNumberFormat="1" applyFont="1" applyFill="1" applyBorder="1" applyAlignment="1">
      <alignment horizontal="center" vertical="center"/>
    </xf>
    <xf numFmtId="1" fontId="5" fillId="2" borderId="21" xfId="0" applyNumberFormat="1" applyFont="1" applyFill="1" applyBorder="1" applyAlignment="1">
      <alignment horizontal="center" vertical="center"/>
    </xf>
    <xf numFmtId="0" fontId="5" fillId="2" borderId="2" xfId="0" applyFont="1" applyFill="1" applyBorder="1" applyAlignment="1">
      <alignment vertical="center"/>
    </xf>
    <xf numFmtId="0" fontId="5" fillId="2" borderId="3" xfId="0" applyFont="1" applyFill="1" applyBorder="1" applyAlignment="1">
      <alignment horizontal="center" vertical="center"/>
    </xf>
    <xf numFmtId="0" fontId="41" fillId="2" borderId="3" xfId="0" applyFont="1" applyFill="1" applyBorder="1" applyAlignment="1">
      <alignment vertical="center"/>
    </xf>
    <xf numFmtId="0" fontId="5" fillId="2" borderId="3" xfId="0" applyFont="1" applyFill="1" applyBorder="1" applyAlignment="1">
      <alignment vertical="center"/>
    </xf>
    <xf numFmtId="0" fontId="5" fillId="0" borderId="38" xfId="0" applyFont="1" applyBorder="1" applyAlignment="1">
      <alignment horizontal="center" vertical="center"/>
    </xf>
    <xf numFmtId="0" fontId="42" fillId="2" borderId="37" xfId="0" applyFont="1" applyFill="1" applyBorder="1" applyAlignment="1">
      <alignment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wrapText="1"/>
    </xf>
    <xf numFmtId="0" fontId="4" fillId="0" borderId="80" xfId="0" applyFont="1" applyBorder="1" applyAlignment="1">
      <alignment vertical="center"/>
    </xf>
    <xf numFmtId="0" fontId="5" fillId="9" borderId="28" xfId="0" applyFont="1" applyFill="1" applyBorder="1" applyAlignment="1">
      <alignment horizontal="right" vertical="center"/>
    </xf>
    <xf numFmtId="0" fontId="0" fillId="0" borderId="80" xfId="0" applyBorder="1"/>
    <xf numFmtId="0" fontId="44" fillId="0" borderId="0" xfId="0" applyFont="1" applyAlignment="1">
      <alignment vertical="center"/>
    </xf>
    <xf numFmtId="0" fontId="45" fillId="0" borderId="0" xfId="0" applyFont="1" applyAlignment="1">
      <alignment vertical="center"/>
    </xf>
    <xf numFmtId="0" fontId="0" fillId="0" borderId="19" xfId="0" applyBorder="1"/>
    <xf numFmtId="0" fontId="5" fillId="0" borderId="77" xfId="0" applyFont="1" applyBorder="1" applyAlignment="1">
      <alignment vertical="center"/>
    </xf>
    <xf numFmtId="170" fontId="5" fillId="6" borderId="77" xfId="0" applyNumberFormat="1" applyFont="1" applyFill="1" applyBorder="1" applyAlignment="1">
      <alignment horizontal="center" vertical="center"/>
    </xf>
    <xf numFmtId="0" fontId="5" fillId="6" borderId="77" xfId="0" applyFont="1" applyFill="1" applyBorder="1" applyAlignment="1">
      <alignment vertical="center"/>
    </xf>
    <xf numFmtId="165" fontId="5" fillId="6" borderId="77" xfId="0" applyNumberFormat="1" applyFont="1" applyFill="1" applyBorder="1" applyAlignment="1">
      <alignment horizontal="right" vertical="center"/>
    </xf>
    <xf numFmtId="10" fontId="5" fillId="6" borderId="77" xfId="0" applyNumberFormat="1" applyFont="1" applyFill="1" applyBorder="1" applyAlignment="1">
      <alignment horizontal="center" vertical="center"/>
    </xf>
    <xf numFmtId="0" fontId="4" fillId="0" borderId="0" xfId="0" applyFont="1" applyBorder="1" applyAlignment="1">
      <alignment vertical="center"/>
    </xf>
    <xf numFmtId="167" fontId="5" fillId="9" borderId="0" xfId="0" applyNumberFormat="1" applyFont="1" applyFill="1" applyBorder="1" applyAlignment="1" applyProtection="1">
      <alignment vertical="center"/>
      <protection hidden="1"/>
    </xf>
    <xf numFmtId="167" fontId="5" fillId="9" borderId="7" xfId="0" applyNumberFormat="1" applyFont="1" applyFill="1" applyBorder="1" applyAlignment="1" applyProtection="1">
      <alignment vertical="center"/>
      <protection hidden="1"/>
    </xf>
    <xf numFmtId="0" fontId="49" fillId="6" borderId="0" xfId="0" applyFont="1" applyFill="1" applyBorder="1" applyAlignment="1">
      <alignment horizontal="center"/>
    </xf>
    <xf numFmtId="171" fontId="49" fillId="6" borderId="0" xfId="0" applyNumberFormat="1" applyFont="1" applyFill="1" applyBorder="1" applyAlignment="1">
      <alignment horizontal="center"/>
    </xf>
    <xf numFmtId="0" fontId="20" fillId="9" borderId="35" xfId="0" applyFont="1" applyFill="1" applyBorder="1" applyAlignment="1">
      <alignment horizontal="center" vertical="center"/>
    </xf>
    <xf numFmtId="0" fontId="4" fillId="0" borderId="0" xfId="0" applyFont="1" applyBorder="1" applyAlignment="1">
      <alignment vertical="center"/>
    </xf>
    <xf numFmtId="0" fontId="46" fillId="9" borderId="35" xfId="0" applyFont="1" applyFill="1" applyBorder="1" applyAlignment="1">
      <alignment horizontal="center" vertical="center"/>
    </xf>
    <xf numFmtId="0" fontId="4" fillId="6" borderId="0" xfId="0" applyFont="1" applyFill="1" applyBorder="1" applyAlignment="1">
      <alignment vertical="center"/>
    </xf>
    <xf numFmtId="0" fontId="20" fillId="6" borderId="0" xfId="0" applyFont="1" applyFill="1" applyBorder="1" applyAlignment="1">
      <alignment horizontal="center" vertical="center"/>
    </xf>
    <xf numFmtId="0" fontId="46" fillId="6" borderId="0" xfId="0" applyFont="1" applyFill="1" applyBorder="1" applyAlignment="1">
      <alignment horizontal="center" vertical="center"/>
    </xf>
    <xf numFmtId="0" fontId="21" fillId="0" borderId="80" xfId="0" applyFont="1" applyFill="1" applyBorder="1" applyAlignment="1" applyProtection="1">
      <alignment vertical="center"/>
    </xf>
    <xf numFmtId="0" fontId="20" fillId="0" borderId="33" xfId="0" applyFont="1" applyFill="1" applyBorder="1" applyAlignment="1" applyProtection="1">
      <alignment vertical="center"/>
    </xf>
    <xf numFmtId="0" fontId="20" fillId="0" borderId="33" xfId="0" applyFont="1" applyFill="1" applyBorder="1" applyAlignment="1">
      <alignment vertical="center" shrinkToFit="1"/>
    </xf>
    <xf numFmtId="0" fontId="20" fillId="0" borderId="33" xfId="0" applyFont="1" applyFill="1" applyBorder="1" applyAlignment="1">
      <alignment vertical="center"/>
    </xf>
    <xf numFmtId="0" fontId="20" fillId="6" borderId="33" xfId="0" applyFont="1" applyFill="1" applyBorder="1" applyAlignment="1">
      <alignment horizontal="center" vertical="center"/>
    </xf>
    <xf numFmtId="0" fontId="20" fillId="0" borderId="33" xfId="0" applyFont="1" applyBorder="1" applyAlignment="1">
      <alignment vertical="center"/>
    </xf>
    <xf numFmtId="166" fontId="20" fillId="0" borderId="33" xfId="0" applyNumberFormat="1" applyFont="1" applyFill="1" applyBorder="1" applyAlignment="1" applyProtection="1">
      <alignment vertical="center"/>
    </xf>
    <xf numFmtId="10" fontId="20" fillId="0" borderId="33" xfId="0" applyNumberFormat="1" applyFont="1" applyFill="1" applyBorder="1" applyAlignment="1" applyProtection="1">
      <alignment vertical="center"/>
    </xf>
    <xf numFmtId="1" fontId="30" fillId="0" borderId="36" xfId="0" applyNumberFormat="1" applyFont="1" applyFill="1" applyBorder="1" applyAlignment="1" applyProtection="1">
      <alignment horizontal="center" vertical="center"/>
      <protection locked="0"/>
    </xf>
    <xf numFmtId="165" fontId="20" fillId="0" borderId="33" xfId="0" applyNumberFormat="1" applyFont="1" applyFill="1" applyBorder="1" applyAlignment="1" applyProtection="1">
      <alignment vertical="center"/>
    </xf>
    <xf numFmtId="10" fontId="5" fillId="7" borderId="36" xfId="0" applyNumberFormat="1" applyFont="1" applyFill="1" applyBorder="1" applyAlignment="1" applyProtection="1">
      <alignment horizontal="center" vertical="center"/>
      <protection locked="0"/>
    </xf>
    <xf numFmtId="170" fontId="5" fillId="7" borderId="36" xfId="0" applyNumberFormat="1" applyFont="1" applyFill="1" applyBorder="1" applyAlignment="1" applyProtection="1">
      <alignment horizontal="center" vertical="center"/>
      <protection locked="0"/>
    </xf>
    <xf numFmtId="0" fontId="5" fillId="7" borderId="28" xfId="0" applyFont="1" applyFill="1" applyBorder="1" applyAlignment="1" applyProtection="1">
      <alignment horizontal="center" vertical="center"/>
      <protection locked="0"/>
    </xf>
    <xf numFmtId="0" fontId="5" fillId="9" borderId="44" xfId="0" applyFont="1" applyFill="1" applyBorder="1" applyAlignment="1">
      <alignment vertical="center"/>
    </xf>
    <xf numFmtId="8" fontId="53" fillId="0" borderId="19" xfId="0" applyNumberFormat="1" applyFont="1" applyBorder="1"/>
    <xf numFmtId="8" fontId="0" fillId="0" borderId="19" xfId="0" applyNumberFormat="1" applyBorder="1"/>
    <xf numFmtId="166" fontId="0" fillId="0" borderId="0" xfId="0" applyNumberFormat="1" applyBorder="1"/>
    <xf numFmtId="166" fontId="0" fillId="9" borderId="19" xfId="0" applyNumberFormat="1" applyFill="1" applyBorder="1"/>
    <xf numFmtId="8" fontId="0" fillId="7" borderId="19" xfId="0" applyNumberFormat="1" applyFill="1" applyBorder="1"/>
    <xf numFmtId="0" fontId="5" fillId="9" borderId="81" xfId="0" applyFont="1" applyFill="1" applyBorder="1" applyAlignment="1" applyProtection="1">
      <alignment horizontal="center" vertical="center"/>
    </xf>
    <xf numFmtId="0" fontId="5" fillId="9" borderId="89" xfId="0" applyFont="1" applyFill="1" applyBorder="1" applyAlignment="1" applyProtection="1">
      <alignment horizontal="center" vertical="center"/>
    </xf>
    <xf numFmtId="166" fontId="5" fillId="9" borderId="81" xfId="0" applyNumberFormat="1" applyFont="1" applyFill="1" applyBorder="1" applyAlignment="1" applyProtection="1">
      <alignment horizontal="center" vertical="center"/>
    </xf>
    <xf numFmtId="0" fontId="4" fillId="0" borderId="0" xfId="0" applyFont="1" applyBorder="1" applyAlignment="1">
      <alignment horizontal="center" vertical="center"/>
    </xf>
    <xf numFmtId="0" fontId="4" fillId="0" borderId="0" xfId="0" applyFont="1" applyBorder="1" applyAlignment="1">
      <alignment vertical="center"/>
    </xf>
    <xf numFmtId="168" fontId="20" fillId="15" borderId="28" xfId="0" applyNumberFormat="1" applyFont="1" applyFill="1" applyBorder="1" applyAlignment="1" applyProtection="1">
      <alignment horizontal="center" vertical="center"/>
    </xf>
    <xf numFmtId="168" fontId="54" fillId="15" borderId="81" xfId="0" applyNumberFormat="1" applyFont="1" applyFill="1" applyBorder="1" applyAlignment="1" applyProtection="1">
      <alignment horizontal="center" vertical="center"/>
    </xf>
    <xf numFmtId="168" fontId="20" fillId="15" borderId="89" xfId="0" applyNumberFormat="1" applyFont="1" applyFill="1" applyBorder="1" applyAlignment="1" applyProtection="1">
      <alignment horizontal="center" vertical="center"/>
    </xf>
    <xf numFmtId="165" fontId="5" fillId="15" borderId="81" xfId="0" applyNumberFormat="1" applyFont="1" applyFill="1" applyBorder="1" applyAlignment="1" applyProtection="1">
      <alignment horizontal="center" vertical="center"/>
    </xf>
    <xf numFmtId="170" fontId="5" fillId="16" borderId="36" xfId="0" applyNumberFormat="1" applyFont="1" applyFill="1" applyBorder="1" applyAlignment="1" applyProtection="1">
      <alignment horizontal="center" vertical="center"/>
    </xf>
    <xf numFmtId="0" fontId="5" fillId="9" borderId="0" xfId="0" applyFont="1" applyFill="1" applyBorder="1" applyAlignment="1" applyProtection="1">
      <alignment vertical="center"/>
      <protection hidden="1"/>
    </xf>
    <xf numFmtId="0" fontId="13" fillId="0" borderId="0" xfId="0" applyFont="1" applyBorder="1" applyAlignment="1">
      <alignment vertical="center"/>
    </xf>
    <xf numFmtId="0" fontId="12" fillId="8" borderId="35" xfId="0" applyFont="1" applyFill="1" applyBorder="1" applyAlignment="1">
      <alignment horizontal="left" vertical="center" wrapText="1"/>
    </xf>
    <xf numFmtId="0" fontId="26" fillId="3" borderId="35" xfId="0" applyFont="1" applyFill="1" applyBorder="1" applyAlignment="1">
      <alignment vertical="center"/>
    </xf>
    <xf numFmtId="0" fontId="26" fillId="3" borderId="34" xfId="0" applyFont="1" applyFill="1" applyBorder="1" applyAlignment="1">
      <alignment vertical="center"/>
    </xf>
    <xf numFmtId="0" fontId="26" fillId="0" borderId="6" xfId="0" applyFont="1" applyBorder="1" applyAlignment="1">
      <alignment vertical="center"/>
    </xf>
    <xf numFmtId="0" fontId="26" fillId="0" borderId="17" xfId="0" applyFont="1" applyBorder="1" applyAlignment="1">
      <alignment vertical="center"/>
    </xf>
    <xf numFmtId="0" fontId="26" fillId="7" borderId="28" xfId="0" applyFont="1" applyFill="1" applyBorder="1" applyAlignment="1">
      <alignment vertical="center"/>
    </xf>
    <xf numFmtId="0" fontId="5" fillId="0" borderId="0" xfId="0" applyFont="1" applyBorder="1" applyAlignment="1">
      <alignment vertical="center"/>
    </xf>
    <xf numFmtId="0" fontId="26" fillId="0" borderId="0" xfId="0" applyFont="1" applyFill="1" applyBorder="1" applyAlignment="1">
      <alignment vertical="center"/>
    </xf>
    <xf numFmtId="0" fontId="26" fillId="8" borderId="34" xfId="0" applyFont="1" applyFill="1" applyBorder="1" applyAlignment="1">
      <alignment vertical="center"/>
    </xf>
    <xf numFmtId="0" fontId="26" fillId="3" borderId="17" xfId="0" applyFont="1" applyFill="1" applyBorder="1" applyAlignment="1">
      <alignment vertical="center"/>
    </xf>
    <xf numFmtId="0" fontId="26" fillId="8" borderId="16" xfId="0" applyFont="1" applyFill="1" applyBorder="1" applyAlignment="1">
      <alignment vertical="center"/>
    </xf>
    <xf numFmtId="10" fontId="5" fillId="0" borderId="0" xfId="0" applyNumberFormat="1" applyFont="1" applyAlignment="1">
      <alignment horizontal="center" vertical="center"/>
    </xf>
    <xf numFmtId="166" fontId="5" fillId="0" borderId="0" xfId="0" applyNumberFormat="1" applyFont="1" applyFill="1" applyBorder="1" applyAlignment="1">
      <alignment vertical="center"/>
    </xf>
    <xf numFmtId="10" fontId="5" fillId="0" borderId="0" xfId="0" applyNumberFormat="1" applyFont="1" applyFill="1" applyBorder="1" applyAlignment="1">
      <alignment vertical="center"/>
    </xf>
    <xf numFmtId="0" fontId="26" fillId="8" borderId="35" xfId="0" applyFont="1" applyFill="1" applyBorder="1" applyAlignment="1">
      <alignment vertical="center"/>
    </xf>
    <xf numFmtId="0" fontId="26" fillId="0" borderId="101" xfId="0" applyFont="1" applyBorder="1" applyAlignment="1">
      <alignment horizontal="center" vertical="center"/>
    </xf>
    <xf numFmtId="0" fontId="5" fillId="17" borderId="34" xfId="0" applyFont="1" applyFill="1" applyBorder="1" applyAlignment="1">
      <alignment horizontal="left" vertical="center"/>
    </xf>
    <xf numFmtId="166" fontId="8" fillId="0" borderId="28" xfId="0" applyNumberFormat="1" applyFont="1" applyFill="1" applyBorder="1" applyAlignment="1" applyProtection="1">
      <alignment vertical="center"/>
    </xf>
    <xf numFmtId="0" fontId="4" fillId="0" borderId="0" xfId="0" applyFont="1" applyAlignment="1">
      <alignment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46" fillId="0" borderId="0" xfId="0" applyFont="1" applyBorder="1" applyAlignment="1">
      <alignment vertical="center"/>
    </xf>
    <xf numFmtId="0" fontId="13" fillId="0" borderId="0" xfId="0" applyFont="1" applyAlignment="1">
      <alignment horizontal="left"/>
    </xf>
    <xf numFmtId="0" fontId="1" fillId="0" borderId="0" xfId="0" applyFont="1"/>
    <xf numFmtId="0" fontId="1" fillId="0" borderId="0" xfId="0" applyFont="1" applyBorder="1"/>
    <xf numFmtId="0" fontId="1" fillId="0" borderId="27" xfId="0" applyFont="1" applyBorder="1"/>
    <xf numFmtId="0" fontId="1" fillId="0" borderId="11" xfId="0" applyFont="1" applyBorder="1"/>
    <xf numFmtId="0" fontId="1" fillId="0" borderId="24" xfId="0" applyFont="1" applyBorder="1"/>
    <xf numFmtId="0" fontId="4" fillId="2" borderId="103" xfId="0" applyFont="1" applyFill="1" applyBorder="1" applyAlignment="1">
      <alignment horizontal="center" vertical="center" wrapText="1"/>
    </xf>
    <xf numFmtId="0" fontId="4" fillId="2" borderId="103" xfId="0" applyFont="1" applyFill="1" applyBorder="1" applyAlignment="1">
      <alignment horizontal="center" vertical="center"/>
    </xf>
    <xf numFmtId="0" fontId="4" fillId="2" borderId="104" xfId="0" applyFont="1" applyFill="1" applyBorder="1" applyAlignment="1">
      <alignment horizontal="center" vertical="center"/>
    </xf>
    <xf numFmtId="0" fontId="60" fillId="6" borderId="36" xfId="0" applyFont="1" applyFill="1" applyBorder="1" applyAlignment="1">
      <alignment vertical="center" wrapText="1"/>
    </xf>
    <xf numFmtId="0" fontId="4" fillId="6" borderId="105" xfId="0" applyFont="1" applyFill="1" applyBorder="1" applyAlignment="1">
      <alignment horizontal="center" vertical="center"/>
    </xf>
    <xf numFmtId="0" fontId="4" fillId="6" borderId="105" xfId="0" applyFont="1" applyFill="1" applyBorder="1" applyAlignment="1">
      <alignment vertical="center"/>
    </xf>
    <xf numFmtId="0" fontId="6" fillId="6" borderId="105" xfId="0" applyFont="1" applyFill="1" applyBorder="1" applyAlignment="1">
      <alignment vertical="center"/>
    </xf>
    <xf numFmtId="0" fontId="4" fillId="6" borderId="106" xfId="0" applyFont="1" applyFill="1" applyBorder="1" applyAlignment="1">
      <alignment vertical="center"/>
    </xf>
    <xf numFmtId="1" fontId="4" fillId="2" borderId="37" xfId="0" applyNumberFormat="1" applyFont="1" applyFill="1" applyBorder="1" applyAlignment="1">
      <alignment horizontal="center" vertical="center"/>
    </xf>
    <xf numFmtId="10" fontId="4" fillId="2" borderId="38" xfId="0" applyNumberFormat="1" applyFont="1" applyFill="1" applyBorder="1" applyAlignment="1">
      <alignment horizontal="center" vertical="center"/>
    </xf>
    <xf numFmtId="0" fontId="1" fillId="0" borderId="23" xfId="0" applyFont="1" applyBorder="1"/>
    <xf numFmtId="0" fontId="59" fillId="12" borderId="89" xfId="0" applyFont="1" applyFill="1" applyBorder="1" applyAlignment="1">
      <alignment horizontal="center"/>
    </xf>
    <xf numFmtId="0" fontId="4" fillId="0" borderId="0" xfId="0" applyFont="1" applyAlignment="1">
      <alignment vertical="center"/>
    </xf>
    <xf numFmtId="0" fontId="13" fillId="0" borderId="0" xfId="0" applyFont="1" applyAlignment="1">
      <alignment horizontal="center" vertical="center"/>
    </xf>
    <xf numFmtId="0" fontId="4" fillId="0" borderId="0" xfId="0" applyFont="1" applyBorder="1" applyAlignment="1">
      <alignment vertical="center"/>
    </xf>
    <xf numFmtId="0" fontId="13" fillId="0" borderId="0" xfId="0" applyFont="1" applyBorder="1" applyAlignment="1">
      <alignment vertical="center"/>
    </xf>
    <xf numFmtId="166" fontId="13" fillId="0" borderId="0" xfId="0" applyNumberFormat="1" applyFont="1" applyFill="1" applyBorder="1" applyAlignment="1">
      <alignment vertical="center"/>
    </xf>
    <xf numFmtId="165" fontId="13" fillId="0" borderId="0" xfId="0" applyNumberFormat="1" applyFont="1" applyBorder="1" applyAlignment="1">
      <alignment vertical="center"/>
    </xf>
    <xf numFmtId="0" fontId="12" fillId="0" borderId="0" xfId="0" applyFont="1" applyBorder="1" applyAlignment="1">
      <alignment vertical="center"/>
    </xf>
    <xf numFmtId="0" fontId="26" fillId="0" borderId="0" xfId="0" applyFont="1" applyBorder="1" applyAlignment="1">
      <alignment vertical="center"/>
    </xf>
    <xf numFmtId="0" fontId="5" fillId="0" borderId="0" xfId="0" applyFont="1" applyAlignment="1">
      <alignment horizontal="center" vertical="center"/>
    </xf>
    <xf numFmtId="0" fontId="25" fillId="0" borderId="0" xfId="0" applyFont="1" applyAlignment="1" applyProtection="1">
      <alignment horizontal="center" vertical="center"/>
      <protection locked="0"/>
    </xf>
    <xf numFmtId="49" fontId="25" fillId="0" borderId="0" xfId="0" applyNumberFormat="1" applyFont="1" applyAlignment="1" applyProtection="1">
      <alignment horizontal="center" vertical="center"/>
      <protection locked="0"/>
    </xf>
    <xf numFmtId="0" fontId="27" fillId="0" borderId="34" xfId="0" applyFont="1" applyBorder="1" applyAlignment="1" applyProtection="1">
      <alignment horizontal="center" vertical="center"/>
      <protection locked="0"/>
    </xf>
    <xf numFmtId="0" fontId="27" fillId="0" borderId="28" xfId="0" applyFont="1" applyBorder="1" applyAlignment="1" applyProtection="1">
      <alignment horizontal="center" vertical="center"/>
      <protection locked="0"/>
    </xf>
    <xf numFmtId="169" fontId="27" fillId="0" borderId="28" xfId="0" applyNumberFormat="1" applyFont="1" applyBorder="1" applyAlignment="1" applyProtection="1">
      <alignment horizontal="center" vertical="center"/>
      <protection locked="0"/>
    </xf>
    <xf numFmtId="0" fontId="27" fillId="0" borderId="19" xfId="0" applyFont="1" applyBorder="1" applyAlignment="1" applyProtection="1">
      <alignment horizontal="center" vertical="center"/>
      <protection locked="0"/>
    </xf>
    <xf numFmtId="10" fontId="25" fillId="0" borderId="19" xfId="0" applyNumberFormat="1" applyFont="1" applyBorder="1" applyAlignment="1" applyProtection="1">
      <alignment horizontal="center" vertical="center"/>
      <protection locked="0"/>
    </xf>
    <xf numFmtId="169" fontId="25" fillId="0" borderId="19" xfId="0" applyNumberFormat="1" applyFont="1" applyBorder="1" applyAlignment="1" applyProtection="1">
      <alignment horizontal="center" vertical="center"/>
      <protection locked="0"/>
    </xf>
    <xf numFmtId="169" fontId="25" fillId="0" borderId="19" xfId="0" applyNumberFormat="1" applyFont="1" applyFill="1" applyBorder="1" applyAlignment="1" applyProtection="1">
      <alignment horizontal="center" vertical="center"/>
      <protection locked="0"/>
    </xf>
    <xf numFmtId="0" fontId="5" fillId="9" borderId="90" xfId="0" applyFont="1" applyFill="1" applyBorder="1" applyAlignment="1" applyProtection="1">
      <alignment vertical="center"/>
    </xf>
    <xf numFmtId="166" fontId="5" fillId="15" borderId="28" xfId="0" applyNumberFormat="1" applyFont="1" applyFill="1" applyBorder="1" applyAlignment="1" applyProtection="1">
      <alignment horizontal="center" vertical="center" wrapText="1"/>
    </xf>
    <xf numFmtId="0" fontId="5" fillId="9" borderId="91" xfId="0" applyFont="1" applyFill="1" applyBorder="1" applyAlignment="1" applyProtection="1">
      <alignment vertical="center"/>
    </xf>
    <xf numFmtId="0" fontId="5" fillId="13" borderId="44" xfId="0" applyFont="1" applyFill="1" applyBorder="1" applyAlignment="1" applyProtection="1">
      <alignment horizontal="center" vertical="center"/>
    </xf>
    <xf numFmtId="171" fontId="48" fillId="16" borderId="32" xfId="0" applyNumberFormat="1" applyFont="1" applyFill="1" applyBorder="1" applyAlignment="1" applyProtection="1">
      <alignment horizontal="center" vertical="center"/>
    </xf>
    <xf numFmtId="0" fontId="5" fillId="13" borderId="82" xfId="0" applyFont="1" applyFill="1" applyBorder="1" applyAlignment="1" applyProtection="1">
      <alignment horizontal="center" vertical="center"/>
    </xf>
    <xf numFmtId="4" fontId="5" fillId="9" borderId="34" xfId="0" applyNumberFormat="1" applyFont="1" applyFill="1" applyBorder="1" applyProtection="1"/>
    <xf numFmtId="4" fontId="5" fillId="9" borderId="95" xfId="0" applyNumberFormat="1" applyFont="1" applyFill="1" applyBorder="1" applyProtection="1"/>
    <xf numFmtId="4" fontId="5" fillId="9" borderId="96" xfId="0" applyNumberFormat="1" applyFont="1" applyFill="1" applyBorder="1" applyProtection="1"/>
    <xf numFmtId="4" fontId="5" fillId="13" borderId="34" xfId="0" applyNumberFormat="1" applyFont="1" applyFill="1" applyBorder="1" applyProtection="1"/>
    <xf numFmtId="4" fontId="5" fillId="13" borderId="86" xfId="0" applyNumberFormat="1" applyFont="1" applyFill="1" applyBorder="1" applyProtection="1"/>
    <xf numFmtId="4" fontId="5" fillId="9" borderId="28" xfId="0" applyNumberFormat="1" applyFont="1" applyFill="1" applyBorder="1" applyProtection="1"/>
    <xf numFmtId="4" fontId="5" fillId="15" borderId="28" xfId="0" applyNumberFormat="1" applyFont="1" applyFill="1" applyBorder="1" applyProtection="1"/>
    <xf numFmtId="14" fontId="5" fillId="7" borderId="28" xfId="0" applyNumberFormat="1" applyFont="1" applyFill="1" applyBorder="1" applyProtection="1">
      <protection locked="0"/>
    </xf>
    <xf numFmtId="4" fontId="5" fillId="7" borderId="28" xfId="0" applyNumberFormat="1" applyFont="1" applyFill="1" applyBorder="1" applyProtection="1">
      <protection locked="0"/>
    </xf>
    <xf numFmtId="0" fontId="8" fillId="4" borderId="34" xfId="0" applyFont="1" applyFill="1" applyBorder="1" applyAlignment="1" applyProtection="1">
      <alignment vertical="center"/>
    </xf>
    <xf numFmtId="0" fontId="8" fillId="4" borderId="80" xfId="0" applyFont="1" applyFill="1" applyBorder="1" applyAlignment="1" applyProtection="1">
      <alignment vertical="center"/>
    </xf>
    <xf numFmtId="0" fontId="8" fillId="6" borderId="80" xfId="0" applyFont="1" applyFill="1" applyBorder="1" applyAlignment="1" applyProtection="1">
      <alignment vertical="center"/>
    </xf>
    <xf numFmtId="166" fontId="8" fillId="4" borderId="34" xfId="0" applyNumberFormat="1" applyFont="1" applyFill="1" applyBorder="1" applyAlignment="1" applyProtection="1">
      <alignment vertical="center"/>
    </xf>
    <xf numFmtId="166" fontId="8" fillId="4" borderId="28" xfId="0" applyNumberFormat="1" applyFont="1" applyFill="1" applyBorder="1" applyAlignment="1" applyProtection="1">
      <alignment vertical="center"/>
    </xf>
    <xf numFmtId="166" fontId="48" fillId="16" borderId="28" xfId="0" applyNumberFormat="1" applyFont="1" applyFill="1" applyBorder="1" applyAlignment="1" applyProtection="1">
      <alignment vertical="center"/>
    </xf>
    <xf numFmtId="0" fontId="13" fillId="0" borderId="0" xfId="0" applyFont="1" applyAlignment="1" applyProtection="1">
      <alignment vertical="center"/>
    </xf>
    <xf numFmtId="0" fontId="13" fillId="0" borderId="0" xfId="0" applyFont="1" applyFill="1" applyBorder="1" applyAlignment="1" applyProtection="1">
      <alignment vertical="center"/>
    </xf>
    <xf numFmtId="0" fontId="26" fillId="10" borderId="78" xfId="0" applyFont="1" applyFill="1" applyBorder="1" applyAlignment="1" applyProtection="1">
      <alignment horizontal="center" vertical="center"/>
    </xf>
    <xf numFmtId="0" fontId="12" fillId="0" borderId="0" xfId="0" applyFont="1" applyFill="1" applyBorder="1" applyAlignment="1" applyProtection="1">
      <alignment horizontal="justify" vertical="center"/>
    </xf>
    <xf numFmtId="0" fontId="12" fillId="0" borderId="0" xfId="0" applyFont="1" applyFill="1" applyBorder="1" applyAlignment="1" applyProtection="1">
      <alignment vertical="center"/>
    </xf>
    <xf numFmtId="165" fontId="13" fillId="0" borderId="0" xfId="0" applyNumberFormat="1" applyFont="1" applyFill="1" applyBorder="1" applyAlignment="1" applyProtection="1">
      <alignment horizontal="center" vertical="center"/>
    </xf>
    <xf numFmtId="0" fontId="36" fillId="0" borderId="0" xfId="0" applyFont="1" applyAlignment="1" applyProtection="1">
      <alignment vertical="center"/>
    </xf>
    <xf numFmtId="0" fontId="37" fillId="8" borderId="15" xfId="0" applyFont="1" applyFill="1" applyBorder="1" applyAlignment="1" applyProtection="1">
      <alignment vertical="center"/>
    </xf>
    <xf numFmtId="0" fontId="37" fillId="8" borderId="14" xfId="0" applyFont="1" applyFill="1" applyBorder="1" applyAlignment="1" applyProtection="1">
      <alignment vertical="center"/>
    </xf>
    <xf numFmtId="166" fontId="36" fillId="0" borderId="0" xfId="0" applyNumberFormat="1" applyFont="1" applyFill="1" applyBorder="1" applyAlignment="1" applyProtection="1">
      <alignment vertical="center"/>
    </xf>
    <xf numFmtId="166" fontId="36" fillId="0" borderId="0" xfId="0" applyNumberFormat="1" applyFont="1" applyFill="1" applyBorder="1" applyAlignment="1" applyProtection="1">
      <alignment horizontal="center" vertical="center"/>
    </xf>
    <xf numFmtId="0" fontId="36" fillId="0" borderId="0" xfId="0" applyFont="1" applyBorder="1" applyAlignment="1" applyProtection="1">
      <alignment vertical="center"/>
    </xf>
    <xf numFmtId="0" fontId="37" fillId="0" borderId="0" xfId="0" applyFont="1" applyFill="1" applyBorder="1" applyAlignment="1" applyProtection="1">
      <alignment vertical="center"/>
    </xf>
    <xf numFmtId="0" fontId="36" fillId="0" borderId="0" xfId="0" applyFont="1" applyFill="1" applyBorder="1" applyAlignment="1" applyProtection="1">
      <alignment vertical="center"/>
    </xf>
    <xf numFmtId="10" fontId="37" fillId="0" borderId="0" xfId="0" applyNumberFormat="1" applyFont="1" applyFill="1" applyBorder="1" applyAlignment="1" applyProtection="1">
      <alignment vertical="center"/>
    </xf>
    <xf numFmtId="166" fontId="37" fillId="0" borderId="0" xfId="0" applyNumberFormat="1" applyFont="1" applyFill="1" applyBorder="1" applyAlignment="1" applyProtection="1">
      <alignment vertical="center"/>
    </xf>
    <xf numFmtId="0" fontId="38" fillId="0" borderId="0" xfId="0" applyFont="1" applyAlignment="1" applyProtection="1">
      <alignment horizontal="right" vertical="center"/>
    </xf>
    <xf numFmtId="10" fontId="38" fillId="0" borderId="0" xfId="0" applyNumberFormat="1" applyFont="1" applyAlignment="1" applyProtection="1">
      <alignment horizontal="center" vertical="center"/>
    </xf>
    <xf numFmtId="0" fontId="38" fillId="0" borderId="0" xfId="0" applyFont="1" applyAlignment="1" applyProtection="1">
      <alignment horizontal="center" vertical="center"/>
    </xf>
    <xf numFmtId="0" fontId="36" fillId="0" borderId="0" xfId="0" applyFont="1" applyAlignment="1" applyProtection="1">
      <alignment horizontal="center" vertical="center"/>
    </xf>
    <xf numFmtId="0" fontId="38" fillId="3" borderId="15" xfId="0" applyFont="1" applyFill="1" applyBorder="1" applyAlignment="1" applyProtection="1">
      <alignment vertical="center"/>
    </xf>
    <xf numFmtId="0" fontId="38" fillId="8" borderId="14" xfId="0" applyFont="1" applyFill="1" applyBorder="1" applyAlignment="1" applyProtection="1">
      <alignment vertical="center"/>
    </xf>
    <xf numFmtId="0" fontId="38" fillId="3" borderId="14" xfId="0" applyFont="1" applyFill="1" applyBorder="1" applyAlignment="1" applyProtection="1">
      <alignment vertical="center"/>
    </xf>
    <xf numFmtId="0" fontId="38" fillId="0" borderId="0" xfId="0" applyFont="1" applyBorder="1" applyAlignment="1" applyProtection="1">
      <alignment vertical="center"/>
    </xf>
    <xf numFmtId="0" fontId="38" fillId="0" borderId="0" xfId="0" applyFont="1" applyFill="1" applyBorder="1" applyAlignment="1" applyProtection="1">
      <alignment vertical="center"/>
    </xf>
    <xf numFmtId="166" fontId="36" fillId="0" borderId="0" xfId="0" applyNumberFormat="1" applyFont="1" applyBorder="1" applyAlignment="1" applyProtection="1">
      <alignment horizontal="right" vertical="center"/>
    </xf>
    <xf numFmtId="0" fontId="37" fillId="0" borderId="0" xfId="0" applyFont="1" applyBorder="1" applyAlignment="1" applyProtection="1">
      <alignment vertical="center"/>
    </xf>
    <xf numFmtId="0" fontId="36" fillId="0" borderId="71" xfId="0" applyFont="1" applyBorder="1" applyAlignment="1" applyProtection="1">
      <alignment vertical="center"/>
    </xf>
    <xf numFmtId="165" fontId="36" fillId="0" borderId="0" xfId="0" applyNumberFormat="1" applyFont="1" applyBorder="1" applyAlignment="1" applyProtection="1">
      <alignment vertical="center"/>
    </xf>
    <xf numFmtId="0" fontId="36" fillId="0" borderId="72" xfId="0" applyFont="1" applyBorder="1" applyAlignment="1" applyProtection="1">
      <alignment vertical="center"/>
    </xf>
    <xf numFmtId="0" fontId="38" fillId="8" borderId="73" xfId="0" applyFont="1" applyFill="1" applyBorder="1" applyAlignment="1" applyProtection="1">
      <alignment vertical="center"/>
    </xf>
    <xf numFmtId="166" fontId="37" fillId="0" borderId="0" xfId="0" applyNumberFormat="1" applyFont="1" applyAlignment="1" applyProtection="1">
      <alignment vertical="center"/>
    </xf>
    <xf numFmtId="0" fontId="38" fillId="0" borderId="6" xfId="0" applyFont="1" applyBorder="1" applyAlignment="1" applyProtection="1">
      <alignment vertical="center"/>
    </xf>
    <xf numFmtId="0" fontId="38" fillId="0" borderId="17" xfId="0" applyFont="1" applyBorder="1" applyAlignment="1" applyProtection="1">
      <alignment vertical="center"/>
    </xf>
    <xf numFmtId="0" fontId="50" fillId="14" borderId="92" xfId="0" applyFont="1" applyFill="1" applyBorder="1" applyAlignment="1" applyProtection="1">
      <alignment vertical="center"/>
    </xf>
    <xf numFmtId="0" fontId="50" fillId="14" borderId="93" xfId="0" applyFont="1" applyFill="1" applyBorder="1" applyAlignment="1" applyProtection="1">
      <alignment vertical="center"/>
    </xf>
    <xf numFmtId="0" fontId="37" fillId="9" borderId="0" xfId="0" applyFont="1" applyFill="1" applyBorder="1" applyAlignment="1" applyProtection="1">
      <alignment vertical="center"/>
    </xf>
    <xf numFmtId="0" fontId="36" fillId="9" borderId="0" xfId="0" applyFont="1" applyFill="1" applyBorder="1" applyAlignment="1" applyProtection="1">
      <alignment vertical="center"/>
    </xf>
    <xf numFmtId="0" fontId="39" fillId="0" borderId="0" xfId="0" applyFont="1" applyBorder="1" applyAlignment="1" applyProtection="1">
      <alignment vertical="center"/>
    </xf>
    <xf numFmtId="0" fontId="36" fillId="9" borderId="0" xfId="0" applyFont="1" applyFill="1" applyBorder="1" applyAlignment="1" applyProtection="1">
      <alignment horizontal="left" vertical="center" wrapText="1"/>
    </xf>
    <xf numFmtId="0" fontId="37" fillId="9" borderId="0" xfId="0" applyFont="1" applyFill="1" applyBorder="1" applyAlignment="1" applyProtection="1">
      <alignment horizontal="left" vertical="center" wrapText="1"/>
    </xf>
    <xf numFmtId="0" fontId="47" fillId="8" borderId="74" xfId="0" applyFont="1" applyFill="1" applyBorder="1" applyAlignment="1" applyProtection="1">
      <alignment horizontal="left" vertical="center"/>
    </xf>
    <xf numFmtId="0" fontId="47" fillId="8" borderId="75" xfId="0" applyFont="1" applyFill="1" applyBorder="1" applyAlignment="1" applyProtection="1">
      <alignment horizontal="left" vertical="center" wrapText="1"/>
    </xf>
    <xf numFmtId="0" fontId="12" fillId="0" borderId="0" xfId="0" applyFont="1" applyAlignment="1" applyProtection="1">
      <alignment vertical="center"/>
    </xf>
    <xf numFmtId="0" fontId="5" fillId="0" borderId="77" xfId="0" applyFont="1" applyBorder="1" applyAlignment="1" applyProtection="1">
      <alignment vertical="center"/>
    </xf>
    <xf numFmtId="170" fontId="5" fillId="6" borderId="77" xfId="0" applyNumberFormat="1" applyFont="1" applyFill="1" applyBorder="1" applyAlignment="1" applyProtection="1">
      <alignment horizontal="center" vertical="center"/>
    </xf>
    <xf numFmtId="0" fontId="5" fillId="6" borderId="77" xfId="0" applyFont="1" applyFill="1" applyBorder="1" applyAlignment="1" applyProtection="1">
      <alignment vertical="center"/>
    </xf>
    <xf numFmtId="165" fontId="5" fillId="6" borderId="77" xfId="0" applyNumberFormat="1" applyFont="1" applyFill="1" applyBorder="1" applyAlignment="1" applyProtection="1">
      <alignment horizontal="right" vertical="center"/>
    </xf>
    <xf numFmtId="10" fontId="5" fillId="6" borderId="77" xfId="0" applyNumberFormat="1" applyFont="1" applyFill="1" applyBorder="1" applyAlignment="1" applyProtection="1">
      <alignment horizontal="center" vertical="center"/>
    </xf>
    <xf numFmtId="0" fontId="12" fillId="0" borderId="77" xfId="0" applyFont="1" applyBorder="1" applyAlignment="1" applyProtection="1">
      <alignment vertical="center"/>
    </xf>
    <xf numFmtId="0" fontId="27" fillId="0" borderId="36" xfId="0" applyNumberFormat="1" applyFont="1" applyBorder="1" applyAlignment="1" applyProtection="1">
      <alignment horizontal="center" vertical="center"/>
      <protection locked="0"/>
    </xf>
    <xf numFmtId="10" fontId="5" fillId="7" borderId="32" xfId="0" applyNumberFormat="1" applyFont="1" applyFill="1" applyBorder="1" applyAlignment="1" applyProtection="1">
      <alignment horizontal="center" vertical="center"/>
      <protection locked="0"/>
    </xf>
    <xf numFmtId="10" fontId="4" fillId="0" borderId="0" xfId="0" applyNumberFormat="1" applyFont="1" applyBorder="1" applyAlignment="1" applyProtection="1">
      <alignment vertical="center"/>
    </xf>
    <xf numFmtId="0" fontId="4" fillId="0" borderId="0" xfId="0" applyFont="1" applyBorder="1" applyAlignment="1" applyProtection="1">
      <alignment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4" fillId="0" borderId="0" xfId="0" applyFont="1" applyAlignment="1" applyProtection="1">
      <alignment horizontal="center" vertical="center"/>
    </xf>
    <xf numFmtId="0" fontId="4" fillId="7" borderId="0" xfId="0" applyFont="1" applyFill="1" applyAlignment="1" applyProtection="1">
      <alignment vertical="center"/>
    </xf>
    <xf numFmtId="0" fontId="4" fillId="7" borderId="0" xfId="0" applyFont="1" applyFill="1" applyBorder="1" applyAlignment="1" applyProtection="1">
      <alignment vertical="center"/>
    </xf>
    <xf numFmtId="0" fontId="4" fillId="11" borderId="19" xfId="0" applyFont="1" applyFill="1" applyBorder="1" applyAlignment="1" applyProtection="1">
      <alignment vertical="center"/>
    </xf>
    <xf numFmtId="0" fontId="4" fillId="11" borderId="0" xfId="0" applyFont="1" applyFill="1" applyBorder="1" applyAlignment="1" applyProtection="1">
      <alignment vertical="center"/>
    </xf>
    <xf numFmtId="0" fontId="5" fillId="0" borderId="0" xfId="0" applyFont="1" applyAlignment="1" applyProtection="1">
      <alignment vertical="center"/>
    </xf>
    <xf numFmtId="0" fontId="4" fillId="0" borderId="19" xfId="0" applyFont="1" applyBorder="1" applyAlignment="1" applyProtection="1">
      <alignment vertical="center"/>
    </xf>
    <xf numFmtId="0" fontId="10" fillId="0" borderId="19" xfId="0" applyFont="1" applyBorder="1" applyAlignment="1" applyProtection="1">
      <alignment vertical="center"/>
    </xf>
    <xf numFmtId="10" fontId="4" fillId="0" borderId="19" xfId="0" applyNumberFormat="1" applyFont="1" applyBorder="1" applyAlignment="1" applyProtection="1">
      <alignment vertical="center"/>
    </xf>
    <xf numFmtId="0" fontId="0" fillId="12" borderId="19" xfId="0" applyFill="1" applyBorder="1" applyAlignment="1" applyProtection="1">
      <alignment horizontal="center"/>
    </xf>
    <xf numFmtId="0" fontId="0" fillId="0" borderId="0" xfId="0" applyProtection="1"/>
    <xf numFmtId="0" fontId="0" fillId="0" borderId="19" xfId="0" applyBorder="1" applyProtection="1"/>
    <xf numFmtId="0" fontId="0" fillId="7" borderId="49" xfId="0" applyFill="1" applyBorder="1" applyProtection="1"/>
    <xf numFmtId="0" fontId="0" fillId="0" borderId="28" xfId="0" applyBorder="1" applyProtection="1"/>
    <xf numFmtId="0" fontId="0" fillId="0" borderId="49" xfId="0" applyBorder="1" applyProtection="1"/>
    <xf numFmtId="0" fontId="0" fillId="11" borderId="28" xfId="0" applyFill="1" applyBorder="1" applyProtection="1"/>
    <xf numFmtId="10" fontId="0" fillId="7" borderId="19" xfId="0" applyNumberFormat="1" applyFill="1" applyBorder="1" applyProtection="1"/>
    <xf numFmtId="0" fontId="0" fillId="6" borderId="19" xfId="0" applyFill="1" applyBorder="1" applyProtection="1"/>
    <xf numFmtId="0" fontId="0" fillId="11" borderId="49" xfId="0" applyFill="1" applyBorder="1" applyProtection="1"/>
    <xf numFmtId="0" fontId="0" fillId="6" borderId="51" xfId="0" applyFill="1" applyBorder="1" applyProtection="1"/>
    <xf numFmtId="0" fontId="0" fillId="0" borderId="0" xfId="0" applyFill="1" applyBorder="1" applyProtection="1"/>
    <xf numFmtId="171" fontId="51" fillId="0" borderId="0" xfId="0" applyNumberFormat="1" applyFont="1" applyFill="1" applyBorder="1" applyAlignment="1" applyProtection="1">
      <alignment vertical="center"/>
    </xf>
    <xf numFmtId="172" fontId="12" fillId="0" borderId="0" xfId="0" applyNumberFormat="1" applyFont="1" applyFill="1" applyBorder="1" applyAlignment="1" applyProtection="1">
      <alignment horizontal="center" vertical="center"/>
    </xf>
    <xf numFmtId="166" fontId="12" fillId="0" borderId="0" xfId="0" applyNumberFormat="1" applyFont="1" applyFill="1" applyBorder="1" applyAlignment="1" applyProtection="1">
      <alignment horizontal="center" vertical="center"/>
    </xf>
    <xf numFmtId="171" fontId="12" fillId="0" borderId="0" xfId="0" applyNumberFormat="1" applyFont="1" applyFill="1" applyBorder="1" applyAlignment="1" applyProtection="1">
      <alignment vertical="center"/>
    </xf>
    <xf numFmtId="166" fontId="51" fillId="0" borderId="0" xfId="0" applyNumberFormat="1" applyFont="1" applyFill="1" applyBorder="1" applyAlignment="1" applyProtection="1">
      <alignment horizontal="center" vertical="center"/>
    </xf>
    <xf numFmtId="0" fontId="12" fillId="0" borderId="0" xfId="0" applyFont="1" applyFill="1" applyBorder="1" applyAlignment="1" applyProtection="1">
      <alignment horizontal="center" vertical="center"/>
    </xf>
    <xf numFmtId="171" fontId="12" fillId="0" borderId="0" xfId="0" applyNumberFormat="1" applyFont="1" applyFill="1" applyBorder="1" applyAlignment="1" applyProtection="1">
      <alignment horizontal="center" vertical="center"/>
    </xf>
    <xf numFmtId="10" fontId="64" fillId="0" borderId="0" xfId="0" applyNumberFormat="1" applyFont="1" applyAlignment="1">
      <alignment vertical="center"/>
    </xf>
    <xf numFmtId="0" fontId="4" fillId="0" borderId="0" xfId="0" applyFont="1" applyAlignment="1">
      <alignment vertical="center"/>
    </xf>
    <xf numFmtId="0" fontId="4" fillId="0" borderId="0" xfId="0" applyFont="1" applyBorder="1" applyAlignment="1">
      <alignment vertical="center"/>
    </xf>
    <xf numFmtId="0" fontId="4" fillId="0" borderId="0" xfId="0" applyFont="1" applyBorder="1" applyAlignment="1" applyProtection="1">
      <alignment vertical="center"/>
    </xf>
    <xf numFmtId="171" fontId="48" fillId="16" borderId="83" xfId="0" applyNumberFormat="1" applyFont="1" applyFill="1" applyBorder="1" applyAlignment="1" applyProtection="1">
      <alignment horizontal="center" vertical="center"/>
    </xf>
    <xf numFmtId="0" fontId="49" fillId="13" borderId="44" xfId="0" applyFont="1" applyFill="1" applyBorder="1" applyAlignment="1">
      <alignment horizontal="center"/>
    </xf>
    <xf numFmtId="171" fontId="49" fillId="7" borderId="32" xfId="0" applyNumberFormat="1" applyFont="1" applyFill="1" applyBorder="1" applyAlignment="1" applyProtection="1">
      <alignment horizontal="center"/>
      <protection locked="0"/>
    </xf>
    <xf numFmtId="0" fontId="5" fillId="13" borderId="28" xfId="0" applyFont="1" applyFill="1" applyBorder="1" applyAlignment="1">
      <alignment horizontal="center" vertical="center"/>
    </xf>
    <xf numFmtId="0" fontId="0" fillId="0" borderId="19" xfId="0" applyBorder="1" applyProtection="1">
      <protection locked="0"/>
    </xf>
    <xf numFmtId="0" fontId="0" fillId="16" borderId="19" xfId="0" applyFont="1" applyFill="1" applyBorder="1" applyAlignment="1" applyProtection="1">
      <alignment horizontal="center" vertical="center" wrapText="1" shrinkToFit="1"/>
      <protection locked="0"/>
    </xf>
    <xf numFmtId="0" fontId="0" fillId="0" borderId="19" xfId="0" applyFont="1" applyFill="1" applyBorder="1" applyAlignment="1" applyProtection="1">
      <alignment horizontal="center" vertical="center" wrapText="1" shrinkToFit="1"/>
      <protection locked="0"/>
    </xf>
    <xf numFmtId="0" fontId="4" fillId="13" borderId="36" xfId="0" applyFont="1" applyFill="1" applyBorder="1" applyAlignment="1" applyProtection="1">
      <alignment vertical="center"/>
    </xf>
    <xf numFmtId="0" fontId="4" fillId="0" borderId="0" xfId="0" applyFont="1" applyAlignment="1" applyProtection="1">
      <alignment vertical="center"/>
      <protection locked="0"/>
    </xf>
    <xf numFmtId="0" fontId="4" fillId="0" borderId="0" xfId="0" applyFont="1" applyBorder="1" applyAlignment="1" applyProtection="1">
      <alignment vertical="center"/>
      <protection locked="0"/>
    </xf>
    <xf numFmtId="0" fontId="4" fillId="0" borderId="0" xfId="0" applyFont="1" applyAlignment="1">
      <alignment vertical="center"/>
    </xf>
    <xf numFmtId="0" fontId="37" fillId="16" borderId="49" xfId="0" applyFont="1" applyFill="1" applyBorder="1" applyAlignment="1" applyProtection="1">
      <alignment horizontal="center"/>
      <protection locked="0"/>
    </xf>
    <xf numFmtId="0" fontId="0" fillId="0" borderId="97" xfId="0" applyBorder="1" applyAlignment="1">
      <alignment horizontal="center"/>
    </xf>
    <xf numFmtId="0" fontId="0" fillId="0" borderId="48" xfId="0" applyBorder="1" applyAlignment="1">
      <alignment horizontal="center"/>
    </xf>
    <xf numFmtId="0" fontId="5" fillId="9" borderId="34" xfId="0" applyFont="1" applyFill="1" applyBorder="1" applyAlignment="1" applyProtection="1">
      <alignment vertical="center"/>
    </xf>
    <xf numFmtId="0" fontId="5" fillId="9" borderId="35" xfId="0" applyFont="1" applyFill="1" applyBorder="1" applyAlignment="1" applyProtection="1">
      <alignment vertical="center"/>
    </xf>
    <xf numFmtId="174" fontId="5" fillId="15" borderId="34" xfId="0" applyNumberFormat="1" applyFont="1" applyFill="1" applyBorder="1" applyAlignment="1" applyProtection="1">
      <alignment vertical="center"/>
    </xf>
    <xf numFmtId="174" fontId="5" fillId="15" borderId="35" xfId="0" applyNumberFormat="1" applyFont="1" applyFill="1" applyBorder="1" applyAlignment="1" applyProtection="1">
      <alignment vertical="center"/>
    </xf>
    <xf numFmtId="174" fontId="5" fillId="15" borderId="36" xfId="0" applyNumberFormat="1" applyFont="1" applyFill="1" applyBorder="1" applyAlignment="1" applyProtection="1">
      <alignment vertical="center"/>
    </xf>
    <xf numFmtId="174" fontId="5" fillId="11" borderId="34" xfId="0" applyNumberFormat="1" applyFont="1" applyFill="1" applyBorder="1" applyAlignment="1" applyProtection="1">
      <alignment vertical="center"/>
    </xf>
    <xf numFmtId="174" fontId="5" fillId="11" borderId="35" xfId="0" applyNumberFormat="1" applyFont="1" applyFill="1" applyBorder="1" applyAlignment="1" applyProtection="1">
      <alignment vertical="center"/>
    </xf>
    <xf numFmtId="174" fontId="5" fillId="11" borderId="36" xfId="0" applyNumberFormat="1" applyFont="1" applyFill="1" applyBorder="1" applyAlignment="1" applyProtection="1">
      <alignment vertical="center"/>
    </xf>
    <xf numFmtId="0" fontId="5" fillId="6" borderId="0" xfId="0" applyFont="1" applyFill="1" applyBorder="1" applyAlignment="1">
      <alignment vertical="center"/>
    </xf>
    <xf numFmtId="8" fontId="5" fillId="6" borderId="0" xfId="0" applyNumberFormat="1" applyFont="1" applyFill="1" applyBorder="1" applyAlignment="1">
      <alignment vertical="center"/>
    </xf>
    <xf numFmtId="0" fontId="5" fillId="9" borderId="52" xfId="0" applyFont="1" applyFill="1" applyBorder="1" applyAlignment="1" applyProtection="1">
      <alignment vertical="center"/>
    </xf>
    <xf numFmtId="0" fontId="5" fillId="9" borderId="98" xfId="0" applyFont="1" applyFill="1" applyBorder="1" applyAlignment="1" applyProtection="1">
      <alignment vertical="center"/>
    </xf>
    <xf numFmtId="0" fontId="5" fillId="9" borderId="50" xfId="0" applyFont="1" applyFill="1" applyBorder="1" applyAlignment="1" applyProtection="1">
      <alignment vertical="center"/>
    </xf>
    <xf numFmtId="173" fontId="5" fillId="15" borderId="52" xfId="0" applyNumberFormat="1" applyFont="1" applyFill="1" applyBorder="1" applyAlignment="1" applyProtection="1">
      <alignment vertical="center"/>
    </xf>
    <xf numFmtId="173" fontId="5" fillId="15" borderId="98" xfId="0" applyNumberFormat="1" applyFont="1" applyFill="1" applyBorder="1" applyAlignment="1" applyProtection="1">
      <alignment vertical="center"/>
    </xf>
    <xf numFmtId="173" fontId="5" fillId="15" borderId="50" xfId="0" applyNumberFormat="1" applyFont="1" applyFill="1" applyBorder="1" applyAlignment="1" applyProtection="1">
      <alignment vertical="center"/>
    </xf>
    <xf numFmtId="173" fontId="5" fillId="15" borderId="34" xfId="0" applyNumberFormat="1" applyFont="1" applyFill="1" applyBorder="1" applyAlignment="1" applyProtection="1">
      <alignment vertical="center"/>
    </xf>
    <xf numFmtId="173" fontId="5" fillId="15" borderId="35" xfId="0" applyNumberFormat="1" applyFont="1" applyFill="1" applyBorder="1" applyAlignment="1" applyProtection="1">
      <alignment vertical="center"/>
    </xf>
    <xf numFmtId="173" fontId="5" fillId="15" borderId="36" xfId="0" applyNumberFormat="1" applyFont="1" applyFill="1" applyBorder="1" applyAlignment="1" applyProtection="1">
      <alignment vertical="center"/>
    </xf>
    <xf numFmtId="0" fontId="5" fillId="7" borderId="34" xfId="0" applyFont="1" applyFill="1" applyBorder="1" applyAlignment="1" applyProtection="1">
      <alignment vertical="center"/>
    </xf>
    <xf numFmtId="0" fontId="5" fillId="7" borderId="35" xfId="0" applyFont="1" applyFill="1" applyBorder="1" applyAlignment="1" applyProtection="1">
      <alignment vertical="center"/>
    </xf>
    <xf numFmtId="0" fontId="5" fillId="7" borderId="36" xfId="0" applyFont="1" applyFill="1" applyBorder="1" applyAlignment="1" applyProtection="1">
      <alignment vertical="center"/>
    </xf>
    <xf numFmtId="0" fontId="5" fillId="0" borderId="35" xfId="0" applyFont="1" applyBorder="1" applyAlignment="1" applyProtection="1">
      <alignment vertical="center"/>
      <protection locked="0"/>
    </xf>
    <xf numFmtId="0" fontId="5" fillId="0" borderId="36" xfId="0" applyFont="1" applyBorder="1" applyAlignment="1" applyProtection="1">
      <alignment vertical="center"/>
      <protection locked="0"/>
    </xf>
    <xf numFmtId="0" fontId="5" fillId="15" borderId="34" xfId="0" applyFont="1" applyFill="1" applyBorder="1" applyAlignment="1" applyProtection="1">
      <alignment vertical="center"/>
    </xf>
    <xf numFmtId="0" fontId="5" fillId="15" borderId="35" xfId="0" applyFont="1" applyFill="1" applyBorder="1" applyAlignment="1" applyProtection="1">
      <alignment vertical="center"/>
    </xf>
    <xf numFmtId="0" fontId="5" fillId="15" borderId="36" xfId="0" applyFont="1" applyFill="1" applyBorder="1" applyAlignment="1" applyProtection="1">
      <alignment vertical="center"/>
    </xf>
    <xf numFmtId="173" fontId="5" fillId="11" borderId="34" xfId="0" applyNumberFormat="1" applyFont="1" applyFill="1" applyBorder="1" applyAlignment="1" applyProtection="1">
      <alignment vertical="center"/>
    </xf>
    <xf numFmtId="173" fontId="5" fillId="11" borderId="35" xfId="0" applyNumberFormat="1" applyFont="1" applyFill="1" applyBorder="1" applyAlignment="1" applyProtection="1">
      <alignment vertical="center"/>
    </xf>
    <xf numFmtId="173" fontId="5" fillId="11" borderId="36" xfId="0" applyNumberFormat="1" applyFont="1" applyFill="1" applyBorder="1" applyAlignment="1" applyProtection="1">
      <alignment vertical="center"/>
    </xf>
    <xf numFmtId="0" fontId="5" fillId="9" borderId="46" xfId="0" applyFont="1" applyFill="1" applyBorder="1" applyAlignment="1" applyProtection="1">
      <alignment vertical="center"/>
    </xf>
    <xf numFmtId="173" fontId="5" fillId="15" borderId="46" xfId="0" applyNumberFormat="1" applyFont="1" applyFill="1" applyBorder="1" applyAlignment="1" applyProtection="1">
      <alignment vertical="center"/>
    </xf>
    <xf numFmtId="9" fontId="4" fillId="0" borderId="0" xfId="0" applyNumberFormat="1" applyFont="1" applyFill="1" applyBorder="1" applyAlignment="1">
      <alignment horizontal="center" vertical="center"/>
    </xf>
    <xf numFmtId="0" fontId="5" fillId="16" borderId="34" xfId="0" applyFont="1" applyFill="1" applyBorder="1" applyAlignment="1" applyProtection="1">
      <alignment horizontal="center" vertical="center"/>
    </xf>
    <xf numFmtId="0" fontId="0" fillId="16" borderId="36" xfId="0" applyFill="1" applyBorder="1" applyAlignment="1" applyProtection="1">
      <alignment vertical="center"/>
    </xf>
    <xf numFmtId="10" fontId="4" fillId="9" borderId="10" xfId="0" applyNumberFormat="1" applyFont="1" applyFill="1" applyBorder="1" applyAlignment="1" applyProtection="1">
      <alignment vertical="center"/>
      <protection hidden="1"/>
    </xf>
    <xf numFmtId="10" fontId="4" fillId="9" borderId="55" xfId="0" applyNumberFormat="1" applyFont="1" applyFill="1" applyBorder="1" applyAlignment="1" applyProtection="1">
      <alignment vertical="center"/>
      <protection hidden="1"/>
    </xf>
    <xf numFmtId="10" fontId="4" fillId="9" borderId="0" xfId="0" applyNumberFormat="1" applyFont="1" applyFill="1" applyBorder="1" applyAlignment="1" applyProtection="1">
      <alignment vertical="center"/>
      <protection hidden="1"/>
    </xf>
    <xf numFmtId="0" fontId="4" fillId="9" borderId="0" xfId="0" applyFont="1" applyFill="1" applyBorder="1" applyAlignment="1" applyProtection="1">
      <alignment vertical="center"/>
      <protection hidden="1"/>
    </xf>
    <xf numFmtId="0" fontId="4" fillId="9" borderId="7" xfId="0" applyFont="1" applyFill="1" applyBorder="1" applyAlignment="1" applyProtection="1">
      <alignment vertical="center"/>
      <protection hidden="1"/>
    </xf>
    <xf numFmtId="165" fontId="5" fillId="9" borderId="0" xfId="0" applyNumberFormat="1" applyFont="1" applyFill="1" applyBorder="1" applyAlignment="1" applyProtection="1">
      <alignment vertical="center"/>
      <protection hidden="1"/>
    </xf>
    <xf numFmtId="0" fontId="5" fillId="9" borderId="0" xfId="0" applyFont="1" applyFill="1" applyBorder="1" applyAlignment="1" applyProtection="1">
      <alignment vertical="center"/>
      <protection hidden="1"/>
    </xf>
    <xf numFmtId="0" fontId="5" fillId="9" borderId="7" xfId="0" applyFont="1" applyFill="1" applyBorder="1" applyAlignment="1" applyProtection="1">
      <alignment vertical="center"/>
      <protection hidden="1"/>
    </xf>
    <xf numFmtId="0" fontId="4" fillId="9" borderId="1" xfId="0" applyFont="1" applyFill="1" applyBorder="1" applyAlignment="1" applyProtection="1">
      <alignment vertical="center"/>
      <protection hidden="1"/>
    </xf>
    <xf numFmtId="0" fontId="4" fillId="9" borderId="54" xfId="0" applyFont="1" applyFill="1" applyBorder="1" applyAlignment="1" applyProtection="1">
      <alignment vertical="center"/>
      <protection hidden="1"/>
    </xf>
    <xf numFmtId="0" fontId="5" fillId="16" borderId="35" xfId="0" applyFont="1" applyFill="1" applyBorder="1" applyAlignment="1" applyProtection="1">
      <alignment horizontal="center" vertical="center"/>
    </xf>
    <xf numFmtId="0" fontId="5" fillId="16" borderId="36" xfId="0" applyFont="1" applyFill="1" applyBorder="1" applyAlignment="1" applyProtection="1">
      <alignment horizontal="center" vertical="center"/>
    </xf>
    <xf numFmtId="166" fontId="4" fillId="9" borderId="0" xfId="0" applyNumberFormat="1" applyFont="1" applyFill="1" applyBorder="1" applyAlignment="1" applyProtection="1">
      <alignment vertical="center"/>
      <protection hidden="1"/>
    </xf>
    <xf numFmtId="166" fontId="4" fillId="9" borderId="7" xfId="0" applyNumberFormat="1" applyFont="1" applyFill="1" applyBorder="1" applyAlignment="1" applyProtection="1">
      <alignment vertical="center"/>
      <protection hidden="1"/>
    </xf>
    <xf numFmtId="0" fontId="20" fillId="9" borderId="35" xfId="0" applyFont="1" applyFill="1" applyBorder="1" applyAlignment="1">
      <alignment horizontal="center" vertical="center"/>
    </xf>
    <xf numFmtId="0" fontId="20" fillId="9" borderId="36" xfId="0" applyFont="1" applyFill="1" applyBorder="1" applyAlignment="1">
      <alignment horizontal="center" vertical="center"/>
    </xf>
    <xf numFmtId="166" fontId="31" fillId="7" borderId="35" xfId="0" applyNumberFormat="1" applyFont="1" applyFill="1" applyBorder="1" applyAlignment="1" applyProtection="1">
      <alignment horizontal="center" vertical="center"/>
      <protection locked="0"/>
    </xf>
    <xf numFmtId="166" fontId="31" fillId="7" borderId="36" xfId="0" applyNumberFormat="1" applyFont="1" applyFill="1" applyBorder="1" applyAlignment="1" applyProtection="1">
      <alignment horizontal="center" vertical="center"/>
      <protection locked="0"/>
    </xf>
    <xf numFmtId="1" fontId="31" fillId="7" borderId="35" xfId="0" applyNumberFormat="1" applyFont="1" applyFill="1" applyBorder="1" applyAlignment="1" applyProtection="1">
      <alignment horizontal="center" vertical="center"/>
      <protection locked="0"/>
    </xf>
    <xf numFmtId="1" fontId="31" fillId="7" borderId="36" xfId="0" applyNumberFormat="1" applyFont="1" applyFill="1" applyBorder="1" applyAlignment="1" applyProtection="1">
      <alignment horizontal="center" vertical="center"/>
      <protection locked="0"/>
    </xf>
    <xf numFmtId="166" fontId="48" fillId="16" borderId="35" xfId="0" applyNumberFormat="1" applyFont="1" applyFill="1" applyBorder="1" applyAlignment="1" applyProtection="1">
      <alignment horizontal="center" vertical="center"/>
    </xf>
    <xf numFmtId="166" fontId="48" fillId="16" borderId="36" xfId="0" applyNumberFormat="1" applyFont="1" applyFill="1" applyBorder="1" applyAlignment="1" applyProtection="1">
      <alignment horizontal="center" vertical="center"/>
    </xf>
    <xf numFmtId="0" fontId="5" fillId="9" borderId="44" xfId="0" applyFont="1" applyFill="1" applyBorder="1" applyAlignment="1">
      <alignment vertical="center"/>
    </xf>
    <xf numFmtId="0" fontId="0" fillId="9" borderId="30" xfId="0" applyFill="1" applyBorder="1" applyAlignment="1">
      <alignment vertical="center"/>
    </xf>
    <xf numFmtId="0" fontId="0" fillId="9" borderId="32" xfId="0" applyFill="1" applyBorder="1" applyAlignment="1">
      <alignment vertical="center"/>
    </xf>
    <xf numFmtId="0" fontId="5" fillId="9" borderId="6" xfId="0" applyFont="1" applyFill="1" applyBorder="1" applyAlignment="1" applyProtection="1">
      <alignment horizontal="left" vertical="center" wrapText="1"/>
      <protection hidden="1"/>
    </xf>
    <xf numFmtId="165" fontId="5" fillId="9" borderId="7" xfId="0" applyNumberFormat="1" applyFont="1" applyFill="1" applyBorder="1" applyAlignment="1" applyProtection="1">
      <alignment vertical="center"/>
      <protection hidden="1"/>
    </xf>
    <xf numFmtId="166" fontId="5" fillId="9" borderId="0" xfId="0" applyNumberFormat="1" applyFont="1" applyFill="1" applyBorder="1" applyAlignment="1" applyProtection="1">
      <alignment vertical="center"/>
      <protection hidden="1"/>
    </xf>
    <xf numFmtId="166" fontId="5" fillId="9" borderId="7" xfId="0" applyNumberFormat="1" applyFont="1" applyFill="1" applyBorder="1" applyAlignment="1" applyProtection="1">
      <alignment vertical="center"/>
      <protection hidden="1"/>
    </xf>
    <xf numFmtId="165" fontId="4" fillId="9" borderId="0" xfId="0" applyNumberFormat="1" applyFont="1" applyFill="1" applyBorder="1" applyAlignment="1" applyProtection="1">
      <alignment vertical="center"/>
      <protection hidden="1"/>
    </xf>
    <xf numFmtId="165" fontId="5" fillId="9" borderId="1" xfId="0" applyNumberFormat="1" applyFont="1" applyFill="1" applyBorder="1" applyAlignment="1" applyProtection="1">
      <alignment vertical="center"/>
      <protection hidden="1"/>
    </xf>
    <xf numFmtId="165" fontId="5" fillId="9" borderId="54" xfId="0" applyNumberFormat="1" applyFont="1" applyFill="1" applyBorder="1" applyAlignment="1" applyProtection="1">
      <alignment vertical="center"/>
      <protection hidden="1"/>
    </xf>
    <xf numFmtId="171" fontId="5" fillId="9" borderId="0" xfId="0" applyNumberFormat="1" applyFont="1" applyFill="1" applyBorder="1" applyAlignment="1" applyProtection="1">
      <alignment vertical="center"/>
      <protection hidden="1"/>
    </xf>
    <xf numFmtId="0" fontId="0" fillId="0" borderId="0" xfId="0" applyAlignment="1">
      <alignment vertical="center"/>
    </xf>
    <xf numFmtId="0" fontId="0" fillId="0" borderId="7" xfId="0" applyBorder="1" applyAlignment="1">
      <alignment vertical="center"/>
    </xf>
    <xf numFmtId="166" fontId="4" fillId="9" borderId="0" xfId="0" applyNumberFormat="1" applyFont="1" applyFill="1" applyBorder="1" applyAlignment="1" applyProtection="1">
      <alignment horizontal="right" vertical="center"/>
      <protection hidden="1"/>
    </xf>
    <xf numFmtId="166" fontId="4" fillId="9" borderId="7" xfId="0" applyNumberFormat="1" applyFont="1" applyFill="1" applyBorder="1" applyAlignment="1" applyProtection="1">
      <alignment horizontal="right" vertical="center"/>
      <protection hidden="1"/>
    </xf>
    <xf numFmtId="0" fontId="57" fillId="16" borderId="34" xfId="0" applyFont="1" applyFill="1" applyBorder="1" applyAlignment="1">
      <alignment horizontal="center" vertical="center"/>
    </xf>
    <xf numFmtId="0" fontId="58" fillId="16" borderId="35" xfId="0" applyFont="1" applyFill="1" applyBorder="1" applyAlignment="1">
      <alignment horizontal="center" vertical="center"/>
    </xf>
    <xf numFmtId="0" fontId="58" fillId="16" borderId="36" xfId="0" applyFont="1" applyFill="1" applyBorder="1" applyAlignment="1">
      <alignment horizontal="center" vertical="center"/>
    </xf>
    <xf numFmtId="10" fontId="31" fillId="7" borderId="35" xfId="0" applyNumberFormat="1" applyFont="1" applyFill="1" applyBorder="1" applyAlignment="1" applyProtection="1">
      <alignment horizontal="center" vertical="center"/>
      <protection locked="0"/>
    </xf>
    <xf numFmtId="10" fontId="31" fillId="7" borderId="36" xfId="0" applyNumberFormat="1" applyFont="1" applyFill="1" applyBorder="1" applyAlignment="1" applyProtection="1">
      <alignment horizontal="center" vertical="center"/>
      <protection locked="0"/>
    </xf>
    <xf numFmtId="1" fontId="31" fillId="7" borderId="34" xfId="0" applyNumberFormat="1" applyFont="1" applyFill="1" applyBorder="1" applyAlignment="1" applyProtection="1">
      <alignment horizontal="center" vertical="center"/>
      <protection locked="0"/>
    </xf>
    <xf numFmtId="10" fontId="4" fillId="0" borderId="0" xfId="0" applyNumberFormat="1" applyFont="1" applyFill="1" applyBorder="1" applyAlignment="1">
      <alignment horizontal="center" vertical="center"/>
    </xf>
    <xf numFmtId="0" fontId="31" fillId="7" borderId="35" xfId="0" applyFont="1" applyFill="1" applyBorder="1" applyAlignment="1" applyProtection="1">
      <alignment horizontal="center" vertical="center"/>
      <protection locked="0"/>
    </xf>
    <xf numFmtId="0" fontId="31" fillId="7" borderId="36" xfId="0" applyFont="1" applyFill="1" applyBorder="1" applyAlignment="1" applyProtection="1">
      <alignment horizontal="center" vertical="center"/>
      <protection locked="0"/>
    </xf>
    <xf numFmtId="0" fontId="33" fillId="7" borderId="86" xfId="0" applyFont="1" applyFill="1" applyBorder="1" applyAlignment="1" applyProtection="1">
      <alignment horizontal="center" vertical="center" wrapText="1"/>
      <protection locked="0"/>
    </xf>
    <xf numFmtId="0" fontId="34" fillId="7" borderId="87" xfId="0" applyFont="1" applyFill="1" applyBorder="1" applyAlignment="1" applyProtection="1">
      <alignment horizontal="center" vertical="center" wrapText="1"/>
      <protection locked="0"/>
    </xf>
    <xf numFmtId="0" fontId="34" fillId="7" borderId="88" xfId="0" applyFont="1" applyFill="1" applyBorder="1" applyAlignment="1" applyProtection="1">
      <alignment horizontal="center" vertical="center" wrapText="1"/>
      <protection locked="0"/>
    </xf>
    <xf numFmtId="0" fontId="62" fillId="16" borderId="53" xfId="0" applyNumberFormat="1" applyFont="1" applyFill="1" applyBorder="1" applyAlignment="1" applyProtection="1">
      <alignment horizontal="center" vertical="center" wrapText="1" shrinkToFit="1"/>
    </xf>
    <xf numFmtId="0" fontId="62" fillId="16" borderId="84" xfId="0" applyNumberFormat="1" applyFont="1" applyFill="1" applyBorder="1" applyAlignment="1" applyProtection="1">
      <alignment horizontal="center" vertical="center" wrapText="1" shrinkToFit="1"/>
    </xf>
    <xf numFmtId="0" fontId="63" fillId="16" borderId="85" xfId="0" applyFont="1" applyFill="1" applyBorder="1" applyAlignment="1">
      <alignment vertical="center"/>
    </xf>
    <xf numFmtId="0" fontId="62" fillId="16" borderId="80" xfId="0" applyNumberFormat="1" applyFont="1" applyFill="1" applyBorder="1" applyAlignment="1" applyProtection="1">
      <alignment horizontal="center" vertical="center" wrapText="1" shrinkToFit="1"/>
    </xf>
    <xf numFmtId="0" fontId="62" fillId="16" borderId="0" xfId="0" applyNumberFormat="1" applyFont="1" applyFill="1" applyBorder="1" applyAlignment="1" applyProtection="1">
      <alignment horizontal="center" vertical="center" wrapText="1" shrinkToFit="1"/>
    </xf>
    <xf numFmtId="0" fontId="63" fillId="16" borderId="33" xfId="0" applyFont="1" applyFill="1" applyBorder="1" applyAlignment="1">
      <alignment vertical="center"/>
    </xf>
    <xf numFmtId="0" fontId="62" fillId="16" borderId="86" xfId="0" applyNumberFormat="1" applyFont="1" applyFill="1" applyBorder="1" applyAlignment="1" applyProtection="1">
      <alignment horizontal="center" vertical="center" wrapText="1" shrinkToFit="1"/>
    </xf>
    <xf numFmtId="0" fontId="62" fillId="16" borderId="87" xfId="0" applyNumberFormat="1" applyFont="1" applyFill="1" applyBorder="1" applyAlignment="1" applyProtection="1">
      <alignment horizontal="center" vertical="center" wrapText="1" shrinkToFit="1"/>
    </xf>
    <xf numFmtId="0" fontId="63" fillId="16" borderId="88" xfId="0" applyFont="1" applyFill="1" applyBorder="1" applyAlignment="1">
      <alignment vertical="center"/>
    </xf>
    <xf numFmtId="171" fontId="52" fillId="0" borderId="0" xfId="0" applyNumberFormat="1" applyFont="1" applyFill="1" applyBorder="1" applyAlignment="1" applyProtection="1">
      <alignment horizontal="center" vertical="center"/>
    </xf>
    <xf numFmtId="165" fontId="37" fillId="0" borderId="0" xfId="0" applyNumberFormat="1" applyFont="1" applyBorder="1" applyAlignment="1" applyProtection="1">
      <alignment horizontal="right" vertical="center"/>
    </xf>
    <xf numFmtId="0" fontId="0" fillId="0" borderId="0" xfId="0" applyAlignment="1" applyProtection="1">
      <alignment horizontal="right" vertical="center"/>
    </xf>
    <xf numFmtId="0" fontId="0" fillId="0" borderId="7" xfId="0" applyBorder="1" applyAlignment="1" applyProtection="1">
      <alignment horizontal="right" vertical="center"/>
    </xf>
    <xf numFmtId="165" fontId="38" fillId="0" borderId="1" xfId="0" applyNumberFormat="1" applyFont="1" applyBorder="1" applyAlignment="1" applyProtection="1">
      <alignment vertical="center"/>
    </xf>
    <xf numFmtId="0" fontId="0" fillId="0" borderId="1" xfId="0" applyBorder="1" applyAlignment="1" applyProtection="1">
      <alignment vertical="center"/>
    </xf>
    <xf numFmtId="0" fontId="0" fillId="0" borderId="54" xfId="0" applyBorder="1" applyAlignment="1" applyProtection="1">
      <alignment vertical="center"/>
    </xf>
    <xf numFmtId="165" fontId="38" fillId="0" borderId="0" xfId="0" applyNumberFormat="1" applyFont="1" applyBorder="1" applyAlignment="1" applyProtection="1">
      <alignment horizontal="right" vertical="center"/>
    </xf>
    <xf numFmtId="166" fontId="36" fillId="0" borderId="0" xfId="0" applyNumberFormat="1" applyFont="1" applyBorder="1" applyAlignment="1" applyProtection="1">
      <alignment horizontal="right" vertical="center"/>
    </xf>
    <xf numFmtId="0" fontId="26" fillId="8" borderId="74" xfId="0" applyFont="1" applyFill="1" applyBorder="1" applyAlignment="1" applyProtection="1">
      <alignment horizontal="center" vertical="center"/>
    </xf>
    <xf numFmtId="0" fontId="26" fillId="8" borderId="75" xfId="0" applyFont="1" applyFill="1" applyBorder="1" applyAlignment="1" applyProtection="1">
      <alignment horizontal="center" vertical="center"/>
    </xf>
    <xf numFmtId="0" fontId="0" fillId="8" borderId="75" xfId="0" applyFill="1" applyBorder="1" applyAlignment="1" applyProtection="1">
      <alignment vertical="center"/>
    </xf>
    <xf numFmtId="0" fontId="0" fillId="8" borderId="76" xfId="0" applyFill="1" applyBorder="1" applyAlignment="1" applyProtection="1">
      <alignment vertical="center"/>
    </xf>
    <xf numFmtId="0" fontId="36" fillId="0" borderId="0" xfId="0" applyFont="1" applyBorder="1" applyAlignment="1" applyProtection="1">
      <alignment vertical="center"/>
    </xf>
    <xf numFmtId="166" fontId="36" fillId="0" borderId="0" xfId="0" applyNumberFormat="1" applyFont="1" applyBorder="1" applyAlignment="1" applyProtection="1">
      <alignment vertical="center"/>
    </xf>
    <xf numFmtId="0" fontId="38" fillId="0" borderId="17" xfId="0" applyFont="1" applyBorder="1" applyAlignment="1" applyProtection="1">
      <alignment vertical="center"/>
    </xf>
    <xf numFmtId="166" fontId="38" fillId="3" borderId="14" xfId="0" applyNumberFormat="1" applyFont="1" applyFill="1" applyBorder="1" applyAlignment="1" applyProtection="1">
      <alignment vertical="center"/>
    </xf>
    <xf numFmtId="166" fontId="38" fillId="3" borderId="56" xfId="0" applyNumberFormat="1" applyFont="1" applyFill="1" applyBorder="1" applyAlignment="1" applyProtection="1">
      <alignment vertical="center"/>
    </xf>
    <xf numFmtId="166" fontId="36" fillId="0" borderId="0" xfId="0" applyNumberFormat="1" applyFont="1" applyFill="1" applyBorder="1" applyAlignment="1" applyProtection="1">
      <alignment vertical="center"/>
    </xf>
    <xf numFmtId="0" fontId="13" fillId="0" borderId="35" xfId="0" applyFont="1" applyBorder="1" applyAlignment="1">
      <alignment horizontal="center"/>
    </xf>
    <xf numFmtId="10" fontId="4" fillId="0" borderId="0" xfId="0" applyNumberFormat="1" applyFont="1" applyBorder="1" applyAlignment="1" applyProtection="1">
      <alignment vertical="center"/>
    </xf>
    <xf numFmtId="0" fontId="4" fillId="0" borderId="0" xfId="0" applyFont="1" applyBorder="1" applyAlignment="1" applyProtection="1">
      <alignment vertical="center"/>
    </xf>
    <xf numFmtId="165" fontId="38" fillId="0" borderId="7" xfId="0" applyNumberFormat="1" applyFont="1" applyBorder="1" applyAlignment="1" applyProtection="1">
      <alignment horizontal="right" vertical="center"/>
    </xf>
    <xf numFmtId="0" fontId="36" fillId="9" borderId="0" xfId="0" applyFont="1" applyFill="1" applyBorder="1" applyAlignment="1" applyProtection="1">
      <alignment horizontal="left" vertical="center"/>
    </xf>
    <xf numFmtId="165" fontId="37" fillId="0" borderId="17" xfId="0" applyNumberFormat="1" applyFont="1" applyBorder="1" applyAlignment="1" applyProtection="1">
      <alignment vertical="center"/>
    </xf>
    <xf numFmtId="165" fontId="37" fillId="0" borderId="57" xfId="0" applyNumberFormat="1" applyFont="1" applyBorder="1" applyAlignment="1" applyProtection="1">
      <alignment vertical="center"/>
    </xf>
    <xf numFmtId="165" fontId="36" fillId="0" borderId="0" xfId="0" applyNumberFormat="1" applyFont="1" applyBorder="1" applyAlignment="1" applyProtection="1">
      <alignment vertical="center"/>
    </xf>
    <xf numFmtId="165" fontId="38" fillId="0" borderId="0" xfId="0" applyNumberFormat="1" applyFont="1" applyBorder="1" applyAlignment="1" applyProtection="1">
      <alignment vertical="center"/>
    </xf>
    <xf numFmtId="165" fontId="38" fillId="0" borderId="7" xfId="0" applyNumberFormat="1" applyFont="1" applyBorder="1" applyAlignment="1" applyProtection="1">
      <alignment vertical="center"/>
    </xf>
    <xf numFmtId="0" fontId="12" fillId="0" borderId="0" xfId="0" applyFont="1" applyBorder="1" applyAlignment="1">
      <alignment horizontal="justify" vertical="top" wrapText="1"/>
    </xf>
    <xf numFmtId="0" fontId="13" fillId="0" borderId="0" xfId="0" applyFont="1" applyBorder="1" applyAlignment="1">
      <alignment horizontal="justify" vertical="top" wrapText="1"/>
    </xf>
    <xf numFmtId="0" fontId="0" fillId="0" borderId="0" xfId="0" applyAlignment="1">
      <alignment horizontal="justify" vertical="top" wrapText="1"/>
    </xf>
    <xf numFmtId="167" fontId="36" fillId="9" borderId="0" xfId="0" applyNumberFormat="1" applyFont="1" applyFill="1" applyBorder="1" applyAlignment="1" applyProtection="1">
      <alignment horizontal="right" vertical="center"/>
    </xf>
    <xf numFmtId="165" fontId="50" fillId="14" borderId="93" xfId="0" applyNumberFormat="1" applyFont="1" applyFill="1" applyBorder="1" applyAlignment="1" applyProtection="1">
      <alignment vertical="center"/>
    </xf>
    <xf numFmtId="165" fontId="50" fillId="14" borderId="94" xfId="0" applyNumberFormat="1" applyFont="1" applyFill="1" applyBorder="1" applyAlignment="1" applyProtection="1">
      <alignment vertical="center"/>
    </xf>
    <xf numFmtId="165" fontId="12" fillId="0" borderId="0" xfId="0" applyNumberFormat="1" applyFont="1" applyAlignment="1" applyProtection="1">
      <alignment horizontal="right" vertical="center"/>
    </xf>
    <xf numFmtId="0" fontId="37" fillId="0" borderId="0" xfId="0" applyFont="1" applyBorder="1" applyAlignment="1" applyProtection="1">
      <alignment horizontal="center" vertical="center"/>
    </xf>
    <xf numFmtId="0" fontId="13" fillId="0" borderId="0" xfId="0" applyFont="1" applyAlignment="1" applyProtection="1">
      <alignment horizontal="center" vertical="center"/>
    </xf>
    <xf numFmtId="0" fontId="0" fillId="0" borderId="0" xfId="0" applyAlignment="1" applyProtection="1">
      <alignment horizontal="center"/>
    </xf>
    <xf numFmtId="14" fontId="5" fillId="0" borderId="0" xfId="0" applyNumberFormat="1" applyFont="1" applyAlignment="1" applyProtection="1">
      <alignment horizontal="center"/>
    </xf>
    <xf numFmtId="165" fontId="47" fillId="8" borderId="75" xfId="0" applyNumberFormat="1" applyFont="1" applyFill="1" applyBorder="1" applyAlignment="1" applyProtection="1">
      <alignment horizontal="right" vertical="center"/>
    </xf>
    <xf numFmtId="165" fontId="47" fillId="8" borderId="76" xfId="0" applyNumberFormat="1" applyFont="1" applyFill="1" applyBorder="1" applyAlignment="1" applyProtection="1">
      <alignment horizontal="right" vertical="center"/>
    </xf>
    <xf numFmtId="0" fontId="5" fillId="0" borderId="0" xfId="0" applyFont="1" applyAlignment="1" applyProtection="1">
      <alignment horizontal="right"/>
    </xf>
    <xf numFmtId="0" fontId="38" fillId="0" borderId="0" xfId="0" applyFont="1" applyBorder="1" applyAlignment="1" applyProtection="1">
      <alignment vertical="center"/>
    </xf>
    <xf numFmtId="0" fontId="38" fillId="0" borderId="0" xfId="0" applyFont="1" applyBorder="1" applyAlignment="1" applyProtection="1">
      <alignment horizontal="right" vertical="center"/>
    </xf>
    <xf numFmtId="0" fontId="38" fillId="0" borderId="7" xfId="0" applyFont="1" applyBorder="1" applyAlignment="1" applyProtection="1">
      <alignment horizontal="right" vertical="center"/>
    </xf>
    <xf numFmtId="0" fontId="29" fillId="0" borderId="0" xfId="0" applyFont="1" applyAlignment="1" applyProtection="1">
      <alignment horizontal="center" vertical="center"/>
    </xf>
    <xf numFmtId="0" fontId="12" fillId="0" borderId="1" xfId="0" applyFont="1" applyFill="1" applyBorder="1" applyAlignment="1" applyProtection="1">
      <alignment horizontal="center" vertical="center"/>
    </xf>
    <xf numFmtId="165" fontId="37" fillId="8" borderId="14" xfId="0" applyNumberFormat="1" applyFont="1" applyFill="1" applyBorder="1" applyAlignment="1" applyProtection="1">
      <alignment vertical="center"/>
    </xf>
    <xf numFmtId="165" fontId="37" fillId="8" borderId="56" xfId="0" applyNumberFormat="1" applyFont="1" applyFill="1" applyBorder="1" applyAlignment="1" applyProtection="1">
      <alignment vertical="center"/>
    </xf>
    <xf numFmtId="165" fontId="37" fillId="0" borderId="0" xfId="0" applyNumberFormat="1" applyFont="1" applyFill="1" applyBorder="1" applyAlignment="1" applyProtection="1">
      <alignment vertical="center"/>
    </xf>
    <xf numFmtId="0" fontId="13" fillId="0" borderId="0" xfId="0" applyFont="1" applyBorder="1" applyAlignment="1">
      <alignment horizontal="justify" vertical="center" wrapText="1"/>
    </xf>
    <xf numFmtId="0" fontId="13" fillId="0" borderId="13" xfId="0" applyFont="1" applyBorder="1" applyAlignment="1">
      <alignment horizontal="justify" vertical="center" wrapText="1"/>
    </xf>
    <xf numFmtId="0" fontId="13" fillId="0" borderId="0" xfId="0" applyFont="1" applyAlignment="1">
      <alignment horizontal="center"/>
    </xf>
    <xf numFmtId="165" fontId="12" fillId="0" borderId="14" xfId="0" applyNumberFormat="1" applyFont="1" applyBorder="1" applyAlignment="1">
      <alignment vertical="center"/>
    </xf>
    <xf numFmtId="165" fontId="12" fillId="0" borderId="58" xfId="0" applyNumberFormat="1" applyFont="1" applyBorder="1" applyAlignment="1">
      <alignment vertical="center"/>
    </xf>
    <xf numFmtId="165" fontId="12" fillId="0" borderId="0" xfId="0" applyNumberFormat="1" applyFont="1" applyFill="1" applyBorder="1" applyAlignment="1">
      <alignment vertical="center"/>
    </xf>
    <xf numFmtId="165" fontId="12" fillId="0" borderId="7" xfId="0" applyNumberFormat="1" applyFont="1" applyFill="1" applyBorder="1" applyAlignment="1">
      <alignment vertical="center"/>
    </xf>
    <xf numFmtId="166" fontId="13" fillId="0" borderId="0" xfId="0" applyNumberFormat="1" applyFont="1" applyBorder="1" applyAlignment="1">
      <alignment vertical="center"/>
    </xf>
    <xf numFmtId="166" fontId="13" fillId="0" borderId="0" xfId="0" applyNumberFormat="1" applyFont="1" applyFill="1" applyBorder="1" applyAlignment="1">
      <alignment vertical="center"/>
    </xf>
    <xf numFmtId="0" fontId="13" fillId="0" borderId="0" xfId="0" applyFont="1" applyBorder="1" applyAlignment="1">
      <alignment vertical="center"/>
    </xf>
    <xf numFmtId="0" fontId="13" fillId="0" borderId="17" xfId="0" applyFont="1" applyBorder="1" applyAlignment="1">
      <alignment horizontal="left" vertical="center"/>
    </xf>
    <xf numFmtId="0" fontId="13" fillId="0" borderId="0" xfId="0" applyFont="1" applyBorder="1" applyAlignment="1">
      <alignment horizontal="left" vertical="center"/>
    </xf>
    <xf numFmtId="0" fontId="13" fillId="0" borderId="0" xfId="0" applyFont="1" applyBorder="1" applyAlignment="1">
      <alignment horizontal="center" vertical="center"/>
    </xf>
    <xf numFmtId="0" fontId="9" fillId="0" borderId="0" xfId="0" applyFont="1" applyAlignment="1">
      <alignment horizontal="center" vertical="center"/>
    </xf>
    <xf numFmtId="165" fontId="12" fillId="3" borderId="14" xfId="0" applyNumberFormat="1" applyFont="1" applyFill="1" applyBorder="1" applyAlignment="1">
      <alignment vertical="center"/>
    </xf>
    <xf numFmtId="165" fontId="12" fillId="3" borderId="56" xfId="0" applyNumberFormat="1" applyFont="1" applyFill="1" applyBorder="1" applyAlignment="1">
      <alignment vertical="center"/>
    </xf>
    <xf numFmtId="165" fontId="13" fillId="0" borderId="0" xfId="0" applyNumberFormat="1" applyFont="1" applyBorder="1" applyAlignment="1">
      <alignment vertical="center"/>
    </xf>
    <xf numFmtId="165" fontId="12" fillId="0" borderId="0" xfId="0" applyNumberFormat="1" applyFont="1" applyBorder="1" applyAlignment="1">
      <alignment vertical="center"/>
    </xf>
    <xf numFmtId="0" fontId="12" fillId="0" borderId="0" xfId="0" applyFont="1" applyBorder="1" applyAlignment="1">
      <alignment vertical="center"/>
    </xf>
    <xf numFmtId="0" fontId="12" fillId="0" borderId="7" xfId="0" applyFont="1" applyBorder="1" applyAlignment="1">
      <alignment vertical="center"/>
    </xf>
    <xf numFmtId="165" fontId="12" fillId="0" borderId="7" xfId="0" applyNumberFormat="1" applyFont="1" applyBorder="1" applyAlignment="1">
      <alignment vertical="center"/>
    </xf>
    <xf numFmtId="166" fontId="12" fillId="3" borderId="14" xfId="0" applyNumberFormat="1" applyFont="1" applyFill="1" applyBorder="1" applyAlignment="1">
      <alignment vertical="center"/>
    </xf>
    <xf numFmtId="166" fontId="12" fillId="3" borderId="56" xfId="0" applyNumberFormat="1" applyFont="1" applyFill="1" applyBorder="1" applyAlignment="1">
      <alignment vertical="center"/>
    </xf>
    <xf numFmtId="0" fontId="13" fillId="0" borderId="17" xfId="0" applyFont="1" applyBorder="1" applyAlignment="1">
      <alignment vertical="center"/>
    </xf>
    <xf numFmtId="165" fontId="13" fillId="0" borderId="0" xfId="0" applyNumberFormat="1" applyFont="1" applyAlignment="1">
      <alignment horizontal="right" vertical="center"/>
    </xf>
    <xf numFmtId="165" fontId="12" fillId="0" borderId="17" xfId="0" applyNumberFormat="1" applyFont="1" applyBorder="1" applyAlignment="1">
      <alignment vertical="center"/>
    </xf>
    <xf numFmtId="165" fontId="12" fillId="0" borderId="57" xfId="0" applyNumberFormat="1" applyFont="1" applyBorder="1" applyAlignment="1">
      <alignment vertical="center"/>
    </xf>
    <xf numFmtId="166" fontId="13" fillId="0" borderId="0" xfId="0" applyNumberFormat="1" applyFont="1" applyBorder="1" applyAlignment="1">
      <alignment horizontal="right" vertical="center"/>
    </xf>
    <xf numFmtId="14" fontId="12" fillId="0" borderId="0" xfId="0" applyNumberFormat="1" applyFont="1" applyAlignment="1">
      <alignment horizontal="left"/>
    </xf>
    <xf numFmtId="10" fontId="13" fillId="0" borderId="0" xfId="0" applyNumberFormat="1" applyFont="1" applyBorder="1" applyAlignment="1">
      <alignment vertical="center"/>
    </xf>
    <xf numFmtId="167" fontId="13" fillId="0" borderId="17" xfId="0" applyNumberFormat="1" applyFont="1" applyBorder="1" applyAlignment="1">
      <alignment horizontal="right" vertical="center"/>
    </xf>
    <xf numFmtId="167" fontId="13" fillId="0" borderId="0" xfId="0" applyNumberFormat="1" applyFont="1" applyBorder="1" applyAlignment="1">
      <alignment horizontal="right" vertical="center"/>
    </xf>
    <xf numFmtId="0" fontId="12" fillId="0" borderId="0" xfId="0" applyFont="1" applyFill="1" applyBorder="1" applyAlignment="1">
      <alignment horizontal="center" vertical="center"/>
    </xf>
    <xf numFmtId="0" fontId="12" fillId="0" borderId="1" xfId="0" applyFont="1" applyFill="1" applyBorder="1" applyAlignment="1">
      <alignment horizontal="center" vertical="center"/>
    </xf>
    <xf numFmtId="0" fontId="12" fillId="6" borderId="0" xfId="0" applyFont="1" applyFill="1" applyBorder="1" applyAlignment="1">
      <alignment horizontal="center" vertical="center"/>
    </xf>
    <xf numFmtId="0" fontId="51" fillId="6" borderId="0" xfId="0" applyFont="1" applyFill="1" applyAlignment="1">
      <alignment vertical="center"/>
    </xf>
    <xf numFmtId="165" fontId="4" fillId="0" borderId="0" xfId="0" applyNumberFormat="1" applyFont="1" applyBorder="1" applyAlignment="1">
      <alignment vertical="center"/>
    </xf>
    <xf numFmtId="0" fontId="4" fillId="0" borderId="0" xfId="0" applyFont="1" applyBorder="1" applyAlignment="1">
      <alignment vertical="center"/>
    </xf>
    <xf numFmtId="165" fontId="26" fillId="7" borderId="34" xfId="0" applyNumberFormat="1" applyFont="1" applyFill="1" applyBorder="1" applyAlignment="1">
      <alignment vertical="center"/>
    </xf>
    <xf numFmtId="165" fontId="26" fillId="7" borderId="35" xfId="0" applyNumberFormat="1" applyFont="1" applyFill="1" applyBorder="1" applyAlignment="1">
      <alignment vertical="center"/>
    </xf>
    <xf numFmtId="165" fontId="26" fillId="7" borderId="36" xfId="0" applyNumberFormat="1" applyFont="1" applyFill="1" applyBorder="1" applyAlignment="1">
      <alignment vertical="center"/>
    </xf>
    <xf numFmtId="166" fontId="26" fillId="3" borderId="17" xfId="0" applyNumberFormat="1" applyFont="1" applyFill="1" applyBorder="1" applyAlignment="1">
      <alignment vertical="center"/>
    </xf>
    <xf numFmtId="166" fontId="26" fillId="3" borderId="57" xfId="0" applyNumberFormat="1" applyFont="1" applyFill="1" applyBorder="1" applyAlignment="1">
      <alignment vertical="center"/>
    </xf>
    <xf numFmtId="0" fontId="26" fillId="0" borderId="0" xfId="0" applyFont="1" applyBorder="1" applyAlignment="1">
      <alignment vertical="center"/>
    </xf>
    <xf numFmtId="166" fontId="4" fillId="0" borderId="0" xfId="0" applyNumberFormat="1" applyFont="1" applyBorder="1" applyAlignment="1">
      <alignment vertical="center"/>
    </xf>
    <xf numFmtId="166" fontId="4" fillId="0" borderId="0" xfId="0" applyNumberFormat="1" applyFont="1" applyBorder="1" applyAlignment="1">
      <alignment horizontal="right" vertical="center"/>
    </xf>
    <xf numFmtId="10" fontId="26" fillId="0" borderId="0" xfId="0" applyNumberFormat="1" applyFont="1" applyBorder="1" applyAlignment="1">
      <alignment vertical="center"/>
    </xf>
    <xf numFmtId="165" fontId="26" fillId="0" borderId="0" xfId="0" applyNumberFormat="1" applyFont="1" applyBorder="1" applyAlignment="1">
      <alignment horizontal="right" vertical="center"/>
    </xf>
    <xf numFmtId="165" fontId="26" fillId="0" borderId="7" xfId="0" applyNumberFormat="1" applyFont="1" applyBorder="1" applyAlignment="1">
      <alignment horizontal="right" vertical="center"/>
    </xf>
    <xf numFmtId="165" fontId="26" fillId="0" borderId="0" xfId="0" applyNumberFormat="1" applyFont="1" applyBorder="1" applyAlignment="1">
      <alignment vertical="center"/>
    </xf>
    <xf numFmtId="165" fontId="26" fillId="0" borderId="7" xfId="0" applyNumberFormat="1" applyFont="1" applyBorder="1" applyAlignment="1">
      <alignment vertical="center"/>
    </xf>
    <xf numFmtId="165" fontId="12" fillId="0" borderId="0" xfId="0" applyNumberFormat="1" applyFont="1" applyAlignment="1">
      <alignment horizontal="right" vertical="center"/>
    </xf>
    <xf numFmtId="0" fontId="5" fillId="0" borderId="0" xfId="0" applyFont="1" applyAlignment="1">
      <alignment horizontal="center" vertical="center"/>
    </xf>
    <xf numFmtId="14" fontId="12" fillId="0" borderId="0" xfId="0" applyNumberFormat="1" applyFont="1" applyAlignment="1">
      <alignment horizontal="center"/>
    </xf>
    <xf numFmtId="165" fontId="5" fillId="8" borderId="35" xfId="0" applyNumberFormat="1" applyFont="1" applyFill="1" applyBorder="1" applyAlignment="1">
      <alignment horizontal="right" vertical="center"/>
    </xf>
    <xf numFmtId="165" fontId="5" fillId="8" borderId="36" xfId="0" applyNumberFormat="1" applyFont="1" applyFill="1" applyBorder="1" applyAlignment="1">
      <alignment horizontal="right" vertical="center"/>
    </xf>
    <xf numFmtId="0" fontId="12" fillId="0" borderId="0" xfId="0" applyFont="1" applyAlignment="1">
      <alignment horizontal="right"/>
    </xf>
    <xf numFmtId="0" fontId="26" fillId="0" borderId="7" xfId="0" applyFont="1" applyBorder="1" applyAlignment="1">
      <alignment vertical="center"/>
    </xf>
    <xf numFmtId="165" fontId="26" fillId="0" borderId="17" xfId="0" applyNumberFormat="1" applyFont="1" applyBorder="1" applyAlignment="1">
      <alignment vertical="center"/>
    </xf>
    <xf numFmtId="165" fontId="26" fillId="0" borderId="57" xfId="0" applyNumberFormat="1" applyFont="1" applyBorder="1" applyAlignment="1">
      <alignment vertical="center"/>
    </xf>
    <xf numFmtId="166" fontId="4" fillId="0" borderId="0" xfId="0" applyNumberFormat="1" applyFont="1" applyFill="1" applyBorder="1" applyAlignment="1">
      <alignment vertical="center"/>
    </xf>
    <xf numFmtId="0" fontId="56" fillId="0" borderId="0" xfId="0" applyFont="1" applyAlignment="1">
      <alignment horizontal="center" vertical="center"/>
    </xf>
    <xf numFmtId="166" fontId="26" fillId="7" borderId="34" xfId="0" applyNumberFormat="1" applyFont="1" applyFill="1" applyBorder="1" applyAlignment="1">
      <alignment vertical="center"/>
    </xf>
    <xf numFmtId="166" fontId="26" fillId="7" borderId="35" xfId="0" applyNumberFormat="1" applyFont="1" applyFill="1" applyBorder="1" applyAlignment="1">
      <alignment vertical="center"/>
    </xf>
    <xf numFmtId="166" fontId="26" fillId="7" borderId="36" xfId="0" applyNumberFormat="1" applyFont="1" applyFill="1" applyBorder="1" applyAlignment="1">
      <alignment vertical="center"/>
    </xf>
    <xf numFmtId="0" fontId="26" fillId="0" borderId="100" xfId="0" applyFont="1" applyFill="1" applyBorder="1" applyAlignment="1">
      <alignment horizontal="center" vertical="center"/>
    </xf>
    <xf numFmtId="0" fontId="26" fillId="0" borderId="99" xfId="0" applyFont="1" applyFill="1" applyBorder="1" applyAlignment="1">
      <alignment horizontal="center" vertical="center"/>
    </xf>
    <xf numFmtId="0" fontId="26" fillId="0" borderId="73" xfId="0" applyFont="1" applyFill="1" applyBorder="1" applyAlignment="1">
      <alignment horizontal="center" vertical="center"/>
    </xf>
    <xf numFmtId="4" fontId="26" fillId="2" borderId="59" xfId="0" applyNumberFormat="1" applyFont="1" applyFill="1" applyBorder="1" applyAlignment="1">
      <alignment horizontal="center" vertical="center"/>
    </xf>
    <xf numFmtId="4" fontId="26" fillId="2" borderId="60" xfId="0" applyNumberFormat="1" applyFont="1" applyFill="1" applyBorder="1" applyAlignment="1">
      <alignment horizontal="center" vertical="center"/>
    </xf>
    <xf numFmtId="0" fontId="4" fillId="2" borderId="20" xfId="0" applyFont="1" applyFill="1" applyBorder="1" applyAlignment="1">
      <alignment horizontal="center" vertical="center"/>
    </xf>
    <xf numFmtId="0" fontId="4" fillId="2" borderId="21" xfId="0" applyFont="1" applyFill="1" applyBorder="1" applyAlignment="1">
      <alignment horizontal="center"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5" fillId="2" borderId="61" xfId="0" applyFont="1" applyFill="1" applyBorder="1" applyAlignment="1">
      <alignment horizontal="center" vertical="center"/>
    </xf>
    <xf numFmtId="0" fontId="5" fillId="2" borderId="62" xfId="0" applyFont="1" applyFill="1" applyBorder="1" applyAlignment="1">
      <alignment horizontal="center" vertical="center"/>
    </xf>
    <xf numFmtId="0" fontId="5" fillId="2" borderId="63" xfId="0" applyFont="1" applyFill="1" applyBorder="1" applyAlignment="1">
      <alignment horizontal="center" vertical="center"/>
    </xf>
    <xf numFmtId="0" fontId="5" fillId="2" borderId="64" xfId="0" applyFont="1" applyFill="1" applyBorder="1" applyAlignment="1">
      <alignment horizontal="center" vertical="center"/>
    </xf>
    <xf numFmtId="0" fontId="5" fillId="2" borderId="65" xfId="0" applyFont="1" applyFill="1" applyBorder="1" applyAlignment="1">
      <alignment horizontal="center" vertical="center"/>
    </xf>
    <xf numFmtId="0" fontId="5" fillId="2" borderId="20" xfId="0" applyFont="1" applyFill="1" applyBorder="1" applyAlignment="1">
      <alignment horizontal="center" vertical="center" wrapText="1"/>
    </xf>
    <xf numFmtId="0" fontId="5" fillId="2" borderId="65" xfId="0" applyFont="1" applyFill="1" applyBorder="1" applyAlignment="1">
      <alignment horizontal="center" vertical="center" wrapText="1"/>
    </xf>
    <xf numFmtId="0" fontId="42" fillId="2" borderId="25" xfId="0" applyFont="1" applyFill="1" applyBorder="1" applyAlignment="1">
      <alignment horizontal="center" vertical="center" wrapText="1"/>
    </xf>
    <xf numFmtId="0" fontId="42" fillId="2" borderId="66" xfId="0" applyFont="1" applyFill="1" applyBorder="1" applyAlignment="1">
      <alignment horizontal="center" vertical="center" wrapText="1"/>
    </xf>
    <xf numFmtId="164" fontId="6" fillId="2" borderId="20" xfId="1" applyFont="1" applyFill="1" applyBorder="1" applyAlignment="1">
      <alignment horizontal="center" vertical="center"/>
    </xf>
    <xf numFmtId="164" fontId="6" fillId="2" borderId="21" xfId="1" applyFont="1" applyFill="1" applyBorder="1" applyAlignment="1">
      <alignment horizontal="center" vertical="center"/>
    </xf>
    <xf numFmtId="0" fontId="4" fillId="2" borderId="20" xfId="0" applyFont="1" applyFill="1" applyBorder="1" applyAlignment="1">
      <alignment horizontal="center" vertical="center" wrapText="1"/>
    </xf>
    <xf numFmtId="0" fontId="4" fillId="2" borderId="65" xfId="0" applyFont="1" applyFill="1" applyBorder="1" applyAlignment="1">
      <alignment horizontal="center" vertical="center" wrapText="1"/>
    </xf>
    <xf numFmtId="0" fontId="4" fillId="2" borderId="107"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61" xfId="0" applyFont="1" applyFill="1" applyBorder="1" applyAlignment="1">
      <alignment horizontal="center" vertical="center"/>
    </xf>
    <xf numFmtId="0" fontId="4" fillId="2" borderId="62" xfId="0" applyFont="1" applyFill="1" applyBorder="1" applyAlignment="1">
      <alignment horizontal="center" vertical="center"/>
    </xf>
    <xf numFmtId="0" fontId="4" fillId="2" borderId="63" xfId="0" applyFont="1" applyFill="1" applyBorder="1" applyAlignment="1">
      <alignment horizontal="center" vertical="center"/>
    </xf>
    <xf numFmtId="0" fontId="4" fillId="2" borderId="64" xfId="0" applyFont="1" applyFill="1" applyBorder="1" applyAlignment="1">
      <alignment horizontal="center" vertical="center"/>
    </xf>
    <xf numFmtId="0" fontId="4" fillId="2" borderId="65" xfId="0" applyFont="1" applyFill="1" applyBorder="1" applyAlignment="1">
      <alignment horizontal="center" vertical="center"/>
    </xf>
    <xf numFmtId="0" fontId="4" fillId="2" borderId="108" xfId="0" applyFont="1" applyFill="1" applyBorder="1" applyAlignment="1">
      <alignment horizontal="center" vertical="center"/>
    </xf>
    <xf numFmtId="0" fontId="4" fillId="2" borderId="23" xfId="0" applyFont="1" applyFill="1" applyBorder="1" applyAlignment="1">
      <alignment horizontal="center" vertical="center"/>
    </xf>
    <xf numFmtId="0" fontId="60" fillId="2" borderId="25" xfId="0" applyFont="1" applyFill="1" applyBorder="1" applyAlignment="1">
      <alignment horizontal="center" vertical="center" wrapText="1"/>
    </xf>
    <xf numFmtId="0" fontId="60" fillId="2" borderId="66" xfId="0" applyFont="1" applyFill="1" applyBorder="1" applyAlignment="1">
      <alignment horizontal="center" vertical="center" wrapText="1"/>
    </xf>
    <xf numFmtId="0" fontId="13" fillId="0" borderId="102" xfId="0" applyFont="1" applyBorder="1" applyAlignment="1">
      <alignment horizontal="left"/>
    </xf>
    <xf numFmtId="0" fontId="25" fillId="0" borderId="35" xfId="0" applyFont="1" applyBorder="1" applyAlignment="1" applyProtection="1">
      <alignment horizontal="center" vertical="center"/>
      <protection locked="0"/>
    </xf>
    <xf numFmtId="0" fontId="25" fillId="0" borderId="46" xfId="0" applyFont="1" applyBorder="1" applyAlignment="1" applyProtection="1">
      <alignment horizontal="center" vertical="center"/>
      <protection locked="0"/>
    </xf>
    <xf numFmtId="0" fontId="9" fillId="0" borderId="0" xfId="0" applyFont="1" applyAlignment="1" applyProtection="1">
      <alignment horizontal="center" vertical="center"/>
      <protection hidden="1"/>
    </xf>
    <xf numFmtId="0" fontId="13" fillId="0" borderId="0" xfId="0" applyFont="1" applyAlignment="1" applyProtection="1">
      <alignment horizontal="center"/>
      <protection hidden="1"/>
    </xf>
    <xf numFmtId="0" fontId="17" fillId="0" borderId="0" xfId="0" applyFont="1" applyAlignment="1" applyProtection="1">
      <alignment horizontal="center" vertical="center"/>
      <protection hidden="1"/>
    </xf>
    <xf numFmtId="4" fontId="5" fillId="0" borderId="67" xfId="0" applyNumberFormat="1" applyFont="1" applyBorder="1" applyAlignment="1" applyProtection="1">
      <alignment horizontal="center" vertical="center"/>
      <protection hidden="1"/>
    </xf>
    <xf numFmtId="4" fontId="5" fillId="0" borderId="68" xfId="0" applyNumberFormat="1" applyFont="1" applyBorder="1" applyAlignment="1" applyProtection="1">
      <alignment horizontal="center" vertical="center"/>
      <protection hidden="1"/>
    </xf>
    <xf numFmtId="4" fontId="5" fillId="0" borderId="69" xfId="0" applyNumberFormat="1" applyFont="1" applyBorder="1" applyAlignment="1" applyProtection="1">
      <alignment horizontal="center" vertical="center"/>
      <protection hidden="1"/>
    </xf>
    <xf numFmtId="4" fontId="5" fillId="0" borderId="70" xfId="0" applyNumberFormat="1" applyFont="1" applyBorder="1" applyAlignment="1" applyProtection="1">
      <alignment horizontal="center" vertical="center"/>
      <protection hidden="1"/>
    </xf>
  </cellXfs>
  <cellStyles count="2">
    <cellStyle name="Comma" xfId="1" builtinId="3"/>
    <cellStyle name="Normal" xfId="0" builtinId="0"/>
  </cellStyles>
  <dxfs count="0"/>
  <tableStyles count="0" defaultTableStyle="TableStyleMedium9" defaultPivotStyle="PivotStyleLight16"/>
  <colors>
    <mruColors>
      <color rgb="FFFFFF66"/>
      <color rgb="FFFFFF99"/>
      <color rgb="FFD6A3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40312035926101608"/>
          <c:y val="0.13002827785730844"/>
          <c:w val="0.74681586728691962"/>
          <c:h val="0.6804612977310025"/>
        </c:manualLayout>
      </c:layout>
      <c:lineChart>
        <c:grouping val="standard"/>
        <c:ser>
          <c:idx val="0"/>
          <c:order val="0"/>
          <c:tx>
            <c:v>MARKET VALUE</c:v>
          </c:tx>
          <c:spPr>
            <a:ln w="12700">
              <a:solidFill>
                <a:srgbClr val="000080"/>
              </a:solidFill>
              <a:prstDash val="solid"/>
            </a:ln>
          </c:spPr>
          <c:marker>
            <c:symbol val="diamond"/>
            <c:size val="5"/>
            <c:spPr>
              <a:solidFill>
                <a:srgbClr val="000080"/>
              </a:solidFill>
              <a:ln>
                <a:solidFill>
                  <a:srgbClr val="000080"/>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VALUE'!$C$9:$C$22</c:f>
              <c:numCache>
                <c:formatCode>[$€-2]\ #,##0.00</c:formatCode>
                <c:ptCount val="14"/>
                <c:pt idx="0">
                  <c:v>27000</c:v>
                </c:pt>
                <c:pt idx="1">
                  <c:v>24000</c:v>
                </c:pt>
                <c:pt idx="2">
                  <c:v>21900</c:v>
                </c:pt>
                <c:pt idx="3">
                  <c:v>19800</c:v>
                </c:pt>
                <c:pt idx="4">
                  <c:v>18300</c:v>
                </c:pt>
                <c:pt idx="5">
                  <c:v>16800</c:v>
                </c:pt>
                <c:pt idx="6">
                  <c:v>15600</c:v>
                </c:pt>
                <c:pt idx="7">
                  <c:v>14400</c:v>
                </c:pt>
                <c:pt idx="8">
                  <c:v>13350</c:v>
                </c:pt>
                <c:pt idx="9">
                  <c:v>12300</c:v>
                </c:pt>
                <c:pt idx="10">
                  <c:v>11400</c:v>
                </c:pt>
                <c:pt idx="11">
                  <c:v>10500</c:v>
                </c:pt>
                <c:pt idx="12">
                  <c:v>9750</c:v>
                </c:pt>
                <c:pt idx="13">
                  <c:v>9000</c:v>
                </c:pt>
              </c:numCache>
            </c:numRef>
          </c:val>
        </c:ser>
        <c:ser>
          <c:idx val="1"/>
          <c:order val="1"/>
          <c:tx>
            <c:v>OUTSTANDING VALUE</c:v>
          </c:tx>
          <c:spPr>
            <a:ln w="12700">
              <a:solidFill>
                <a:srgbClr val="FF00FF"/>
              </a:solidFill>
              <a:prstDash val="solid"/>
            </a:ln>
          </c:spPr>
          <c:marker>
            <c:symbol val="square"/>
            <c:size val="5"/>
            <c:spPr>
              <a:solidFill>
                <a:srgbClr val="FF00FF"/>
              </a:solidFill>
              <a:ln>
                <a:solidFill>
                  <a:srgbClr val="FF00FF"/>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VALUE'!$D$9:$D$22</c:f>
              <c:numCache>
                <c:formatCode>[$€-2]\ #,##0.00</c:formatCode>
                <c:ptCount val="14"/>
                <c:pt idx="0">
                  <c:v>20565.600838648752</c:v>
                </c:pt>
                <c:pt idx="1">
                  <c:v>18567.078688942558</c:v>
                </c:pt>
                <c:pt idx="2">
                  <c:v>16502.307951513038</c:v>
                </c:pt>
                <c:pt idx="3">
                  <c:v>14369.09256594826</c:v>
                </c:pt>
                <c:pt idx="4">
                  <c:v>12165.163675094531</c:v>
                </c:pt>
                <c:pt idx="5">
                  <c:v>9888.1772119326033</c:v>
                </c:pt>
                <c:pt idx="6">
                  <c:v>7535.7114064617654</c:v>
                </c:pt>
                <c:pt idx="7">
                  <c:v>5105.264209940161</c:v>
                </c:pt>
                <c:pt idx="8">
                  <c:v>2594.2506337417831</c:v>
                </c:pt>
                <c:pt idx="9">
                  <c:v>-1.8820855984813534E-10</c:v>
                </c:pt>
                <c:pt idx="10">
                  <c:v>0</c:v>
                </c:pt>
                <c:pt idx="11">
                  <c:v>0</c:v>
                </c:pt>
                <c:pt idx="12">
                  <c:v>0</c:v>
                </c:pt>
                <c:pt idx="13">
                  <c:v>0</c:v>
                </c:pt>
              </c:numCache>
            </c:numRef>
          </c:val>
        </c:ser>
        <c:marker val="1"/>
        <c:axId val="59614336"/>
        <c:axId val="59625472"/>
      </c:lineChart>
      <c:catAx>
        <c:axId val="59614336"/>
        <c:scaling>
          <c:orientation val="minMax"/>
        </c:scaling>
        <c:axPos val="b"/>
        <c:title>
          <c:tx>
            <c:rich>
              <a:bodyPr/>
              <a:lstStyle/>
              <a:p>
                <a:pPr>
                  <a:defRPr sz="1000" b="1" i="0" u="none" strike="noStrike" baseline="0">
                    <a:solidFill>
                      <a:srgbClr val="000000"/>
                    </a:solidFill>
                    <a:latin typeface="Arial"/>
                    <a:ea typeface="Arial"/>
                    <a:cs typeface="Arial"/>
                  </a:defRPr>
                </a:pPr>
                <a:r>
                  <a:rPr lang="sr-Latn-CS" sz="1000" baseline="0"/>
                  <a:t>MONTHS</a:t>
                </a:r>
              </a:p>
            </c:rich>
          </c:tx>
          <c:layout>
            <c:manualLayout>
              <c:xMode val="edge"/>
              <c:yMode val="edge"/>
              <c:x val="0.11002977599433458"/>
              <c:y val="0.89885260241899889"/>
            </c:manualLayout>
          </c:layout>
          <c:spPr>
            <a:noFill/>
            <a:ln w="25400">
              <a:noFill/>
            </a:ln>
          </c:spPr>
        </c:title>
        <c:numFmt formatCode="0" sourceLinked="1"/>
        <c:tickLblPos val="nextTo"/>
        <c:spPr>
          <a:ln w="3175">
            <a:solidFill>
              <a:srgbClr val="000000"/>
            </a:solidFill>
            <a:prstDash val="solid"/>
          </a:ln>
        </c:spPr>
        <c:txPr>
          <a:bodyPr rot="0" vert="horz"/>
          <a:lstStyle/>
          <a:p>
            <a:pPr>
              <a:defRPr sz="700" b="0" i="0" u="none" strike="noStrike" baseline="0">
                <a:solidFill>
                  <a:srgbClr val="000000"/>
                </a:solidFill>
                <a:latin typeface="Arial"/>
                <a:ea typeface="Arial"/>
                <a:cs typeface="Arial"/>
              </a:defRPr>
            </a:pPr>
            <a:endParaRPr lang="en-US"/>
          </a:p>
        </c:txPr>
        <c:crossAx val="59625472"/>
        <c:crosses val="autoZero"/>
        <c:auto val="1"/>
        <c:lblAlgn val="ctr"/>
        <c:lblOffset val="100"/>
        <c:tickLblSkip val="1"/>
        <c:tickMarkSkip val="1"/>
      </c:catAx>
      <c:valAx>
        <c:axId val="59625472"/>
        <c:scaling>
          <c:orientation val="minMax"/>
          <c:min val="0"/>
        </c:scaling>
        <c:axPos val="l"/>
        <c:majorGridlines>
          <c:spPr>
            <a:ln w="3175">
              <a:solidFill>
                <a:srgbClr val="000000"/>
              </a:solidFill>
              <a:prstDash val="solid"/>
            </a:ln>
          </c:spPr>
        </c:majorGridlines>
        <c:title>
          <c:tx>
            <c:rich>
              <a:bodyPr/>
              <a:lstStyle/>
              <a:p>
                <a:pPr>
                  <a:defRPr sz="1100" b="1" i="0" u="none" strike="noStrike" baseline="0">
                    <a:solidFill>
                      <a:srgbClr val="000000"/>
                    </a:solidFill>
                    <a:latin typeface="Arial"/>
                    <a:ea typeface="Arial"/>
                    <a:cs typeface="Arial"/>
                  </a:defRPr>
                </a:pPr>
                <a:r>
                  <a:rPr lang="sr-Latn-CS" sz="1000" baseline="0"/>
                  <a:t>VALUE</a:t>
                </a:r>
              </a:p>
            </c:rich>
          </c:tx>
          <c:layout>
            <c:manualLayout>
              <c:xMode val="edge"/>
              <c:yMode val="edge"/>
              <c:x val="2.5477729214333802E-2"/>
              <c:y val="0.74151815138708388"/>
            </c:manualLayout>
          </c:layout>
          <c:spPr>
            <a:noFill/>
            <a:ln w="25400">
              <a:noFill/>
            </a:ln>
          </c:spPr>
        </c:title>
        <c:numFmt formatCode="[$€-2]\ #,##0.00" sourceLinked="1"/>
        <c:tickLblPos val="nextTo"/>
        <c:txPr>
          <a:bodyPr rot="0" vert="horz"/>
          <a:lstStyle/>
          <a:p>
            <a:pPr>
              <a:defRPr sz="700" baseline="0"/>
            </a:pPr>
            <a:endParaRPr lang="en-US"/>
          </a:p>
        </c:txPr>
        <c:crossAx val="59614336"/>
        <c:crosses val="autoZero"/>
        <c:crossBetween val="between"/>
      </c:valAx>
      <c:spPr>
        <a:solidFill>
          <a:srgbClr val="C0C0C0"/>
        </a:solidFill>
        <a:ln w="12700">
          <a:solidFill>
            <a:srgbClr val="808080"/>
          </a:solidFill>
          <a:prstDash val="solid"/>
        </a:ln>
      </c:spPr>
    </c:plotArea>
    <c:legend>
      <c:legendPos val="t"/>
      <c:layout>
        <c:manualLayout>
          <c:xMode val="edge"/>
          <c:yMode val="edge"/>
          <c:x val="0.30414029456509017"/>
          <c:y val="1.8390804597701163E-2"/>
          <c:w val="0.60031897286724456"/>
          <c:h val="6.2069206866383113E-2"/>
        </c:manualLayout>
      </c:layout>
      <c:spPr>
        <a:solidFill>
          <a:srgbClr val="FFFFFF"/>
        </a:solidFill>
        <a:ln w="3175">
          <a:solidFill>
            <a:srgbClr val="000000"/>
          </a:solidFill>
          <a:prstDash val="solid"/>
        </a:ln>
      </c:spPr>
      <c:txPr>
        <a:bodyPr/>
        <a:lstStyle/>
        <a:p>
          <a:pPr>
            <a:defRPr sz="1000" b="1" i="0" u="none" strike="noStrike" baseline="0">
              <a:solidFill>
                <a:srgbClr val="000000"/>
              </a:solidFill>
              <a:latin typeface="Arial"/>
              <a:ea typeface="Arial"/>
              <a:cs typeface="Arial"/>
            </a:defRPr>
          </a:pPr>
          <a:endParaRPr lang="en-US"/>
        </a:p>
      </c:txPr>
    </c:legend>
    <c:plotVisOnly val="1"/>
    <c:dispBlanksAs val="gap"/>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22876874467124741"/>
          <c:y val="0.13563242525718769"/>
          <c:w val="0.74681586728691962"/>
          <c:h val="0.6804612977310025"/>
        </c:manualLayout>
      </c:layout>
      <c:lineChart>
        <c:grouping val="standard"/>
        <c:ser>
          <c:idx val="0"/>
          <c:order val="0"/>
          <c:tx>
            <c:v>MARKET VALUE</c:v>
          </c:tx>
          <c:spPr>
            <a:ln w="12700">
              <a:solidFill>
                <a:srgbClr val="000080"/>
              </a:solidFill>
              <a:prstDash val="solid"/>
            </a:ln>
          </c:spPr>
          <c:marker>
            <c:symbol val="diamond"/>
            <c:size val="5"/>
            <c:spPr>
              <a:solidFill>
                <a:srgbClr val="000080"/>
              </a:solidFill>
              <a:ln>
                <a:solidFill>
                  <a:srgbClr val="000080"/>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VALUE'!$C$9:$C$22</c:f>
              <c:numCache>
                <c:formatCode>[$€-2]\ #,##0.00</c:formatCode>
                <c:ptCount val="14"/>
                <c:pt idx="0">
                  <c:v>27000</c:v>
                </c:pt>
                <c:pt idx="1">
                  <c:v>24000</c:v>
                </c:pt>
                <c:pt idx="2">
                  <c:v>21900</c:v>
                </c:pt>
                <c:pt idx="3">
                  <c:v>19800</c:v>
                </c:pt>
                <c:pt idx="4">
                  <c:v>18300</c:v>
                </c:pt>
                <c:pt idx="5">
                  <c:v>16800</c:v>
                </c:pt>
                <c:pt idx="6">
                  <c:v>15600</c:v>
                </c:pt>
                <c:pt idx="7">
                  <c:v>14400</c:v>
                </c:pt>
                <c:pt idx="8">
                  <c:v>13350</c:v>
                </c:pt>
                <c:pt idx="9">
                  <c:v>12300</c:v>
                </c:pt>
                <c:pt idx="10">
                  <c:v>11400</c:v>
                </c:pt>
                <c:pt idx="11">
                  <c:v>10500</c:v>
                </c:pt>
                <c:pt idx="12">
                  <c:v>9750</c:v>
                </c:pt>
                <c:pt idx="13">
                  <c:v>9000</c:v>
                </c:pt>
              </c:numCache>
            </c:numRef>
          </c:val>
        </c:ser>
        <c:ser>
          <c:idx val="1"/>
          <c:order val="1"/>
          <c:tx>
            <c:v>OUTSTANDING VALUE</c:v>
          </c:tx>
          <c:spPr>
            <a:ln w="12700">
              <a:solidFill>
                <a:srgbClr val="FF00FF"/>
              </a:solidFill>
              <a:prstDash val="solid"/>
            </a:ln>
          </c:spPr>
          <c:marker>
            <c:symbol val="square"/>
            <c:size val="5"/>
            <c:spPr>
              <a:solidFill>
                <a:srgbClr val="FF00FF"/>
              </a:solidFill>
              <a:ln>
                <a:solidFill>
                  <a:srgbClr val="FF00FF"/>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VALUE'!$D$9:$D$22</c:f>
              <c:numCache>
                <c:formatCode>[$€-2]\ #,##0.00</c:formatCode>
                <c:ptCount val="14"/>
                <c:pt idx="0">
                  <c:v>20565.600838648752</c:v>
                </c:pt>
                <c:pt idx="1">
                  <c:v>18567.078688942558</c:v>
                </c:pt>
                <c:pt idx="2">
                  <c:v>16502.307951513038</c:v>
                </c:pt>
                <c:pt idx="3">
                  <c:v>14369.09256594826</c:v>
                </c:pt>
                <c:pt idx="4">
                  <c:v>12165.163675094531</c:v>
                </c:pt>
                <c:pt idx="5">
                  <c:v>9888.1772119326033</c:v>
                </c:pt>
                <c:pt idx="6">
                  <c:v>7535.7114064617654</c:v>
                </c:pt>
                <c:pt idx="7">
                  <c:v>5105.264209940161</c:v>
                </c:pt>
                <c:pt idx="8">
                  <c:v>2594.2506337417831</c:v>
                </c:pt>
                <c:pt idx="9">
                  <c:v>-1.8820855984813534E-10</c:v>
                </c:pt>
                <c:pt idx="10">
                  <c:v>0</c:v>
                </c:pt>
                <c:pt idx="11">
                  <c:v>0</c:v>
                </c:pt>
                <c:pt idx="12">
                  <c:v>0</c:v>
                </c:pt>
                <c:pt idx="13">
                  <c:v>0</c:v>
                </c:pt>
              </c:numCache>
            </c:numRef>
          </c:val>
        </c:ser>
        <c:marker val="1"/>
        <c:axId val="89779584"/>
        <c:axId val="113973120"/>
      </c:lineChart>
      <c:catAx>
        <c:axId val="89779584"/>
        <c:scaling>
          <c:orientation val="minMax"/>
        </c:scaling>
        <c:axPos val="b"/>
        <c:title>
          <c:tx>
            <c:rich>
              <a:bodyPr/>
              <a:lstStyle/>
              <a:p>
                <a:pPr>
                  <a:defRPr sz="1200" b="1" i="0" u="none" strike="noStrike" baseline="0">
                    <a:solidFill>
                      <a:srgbClr val="000000"/>
                    </a:solidFill>
                    <a:latin typeface="Arial"/>
                    <a:ea typeface="Arial"/>
                    <a:cs typeface="Arial"/>
                  </a:defRPr>
                </a:pPr>
                <a:r>
                  <a:rPr lang="sr-Latn-CS"/>
                  <a:t>MONTHS</a:t>
                </a:r>
              </a:p>
            </c:rich>
          </c:tx>
          <c:layout>
            <c:manualLayout>
              <c:xMode val="edge"/>
              <c:yMode val="edge"/>
              <c:x val="0.54299413210291392"/>
              <c:y val="0.89885250550577722"/>
            </c:manualLayout>
          </c:layout>
          <c:spPr>
            <a:noFill/>
            <a:ln w="25400">
              <a:noFill/>
            </a:ln>
          </c:spPr>
        </c:title>
        <c:numFmt formatCode="0" sourceLinked="1"/>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113973120"/>
        <c:crosses val="autoZero"/>
        <c:auto val="1"/>
        <c:lblAlgn val="ctr"/>
        <c:lblOffset val="100"/>
        <c:tickLblSkip val="1"/>
        <c:tickMarkSkip val="1"/>
      </c:catAx>
      <c:valAx>
        <c:axId val="113973120"/>
        <c:scaling>
          <c:orientation val="minMax"/>
          <c:min val="0"/>
        </c:scaling>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sr-Latn-CS"/>
                  <a:t>VALUE</a:t>
                </a:r>
              </a:p>
            </c:rich>
          </c:tx>
          <c:layout>
            <c:manualLayout>
              <c:xMode val="edge"/>
              <c:yMode val="edge"/>
              <c:x val="2.5477707006370937E-2"/>
              <c:y val="0.40689751712070482"/>
            </c:manualLayout>
          </c:layout>
          <c:spPr>
            <a:noFill/>
            <a:ln w="25400">
              <a:noFill/>
            </a:ln>
          </c:spPr>
        </c:title>
        <c:numFmt formatCode="[$€-2]\ #,##0.00" sourceLinked="1"/>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89779584"/>
        <c:crosses val="autoZero"/>
        <c:crossBetween val="between"/>
      </c:valAx>
      <c:spPr>
        <a:solidFill>
          <a:srgbClr val="C0C0C0"/>
        </a:solidFill>
        <a:ln w="12700">
          <a:solidFill>
            <a:srgbClr val="808080"/>
          </a:solidFill>
          <a:prstDash val="solid"/>
        </a:ln>
      </c:spPr>
    </c:plotArea>
    <c:legend>
      <c:legendPos val="t"/>
      <c:layout>
        <c:manualLayout>
          <c:xMode val="edge"/>
          <c:yMode val="edge"/>
          <c:x val="0.30414029456509017"/>
          <c:y val="1.8390804597701163E-2"/>
          <c:w val="0.60031897286724456"/>
          <c:h val="6.2069206866383113E-2"/>
        </c:manualLayout>
      </c:layou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566372</xdr:colOff>
      <xdr:row>4</xdr:row>
      <xdr:rowOff>10197</xdr:rowOff>
    </xdr:from>
    <xdr:to>
      <xdr:col>1</xdr:col>
      <xdr:colOff>2015290</xdr:colOff>
      <xdr:row>5</xdr:row>
      <xdr:rowOff>208548</xdr:rowOff>
    </xdr:to>
    <xdr:pic>
      <xdr:nvPicPr>
        <xdr:cNvPr id="4"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909272" y="381672"/>
          <a:ext cx="1448918" cy="426951"/>
        </a:xfrm>
        <a:prstGeom prst="rect">
          <a:avLst/>
        </a:prstGeom>
        <a:noFill/>
      </xdr:spPr>
    </xdr:pic>
    <xdr:clientData/>
  </xdr:twoCellAnchor>
  <xdr:twoCellAnchor>
    <xdr:from>
      <xdr:col>0</xdr:col>
      <xdr:colOff>321130</xdr:colOff>
      <xdr:row>30</xdr:row>
      <xdr:rowOff>142875</xdr:rowOff>
    </xdr:from>
    <xdr:to>
      <xdr:col>1</xdr:col>
      <xdr:colOff>2559504</xdr:colOff>
      <xdr:row>99</xdr:row>
      <xdr:rowOff>209550</xdr:rowOff>
    </xdr:to>
    <xdr:graphicFrame macro="">
      <xdr:nvGraphicFramePr>
        <xdr:cNvPr id="3"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255</xdr:col>
      <xdr:colOff>0</xdr:colOff>
      <xdr:row>0</xdr:row>
      <xdr:rowOff>0</xdr:rowOff>
    </xdr:from>
    <xdr:to>
      <xdr:col>255</xdr:col>
      <xdr:colOff>0</xdr:colOff>
      <xdr:row>9</xdr:row>
      <xdr:rowOff>104775</xdr:rowOff>
    </xdr:to>
    <xdr:pic>
      <xdr:nvPicPr>
        <xdr:cNvPr id="2701" name="Picture 9"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0"/>
          <a:ext cx="0" cy="1838325"/>
        </a:xfrm>
        <a:prstGeom prst="rect">
          <a:avLst/>
        </a:prstGeom>
        <a:noFill/>
        <a:ln w="9525">
          <a:noFill/>
          <a:miter lim="800000"/>
          <a:headEnd/>
          <a:tailEnd/>
        </a:ln>
      </xdr:spPr>
    </xdr:pic>
    <xdr:clientData/>
  </xdr:twoCellAnchor>
  <xdr:twoCellAnchor>
    <xdr:from>
      <xdr:col>255</xdr:col>
      <xdr:colOff>0</xdr:colOff>
      <xdr:row>2</xdr:row>
      <xdr:rowOff>0</xdr:rowOff>
    </xdr:from>
    <xdr:to>
      <xdr:col>255</xdr:col>
      <xdr:colOff>0</xdr:colOff>
      <xdr:row>13</xdr:row>
      <xdr:rowOff>76200</xdr:rowOff>
    </xdr:to>
    <xdr:pic>
      <xdr:nvPicPr>
        <xdr:cNvPr id="2702" name="Picture 10"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381000"/>
          <a:ext cx="0" cy="1838325"/>
        </a:xfrm>
        <a:prstGeom prst="rect">
          <a:avLst/>
        </a:prstGeom>
        <a:noFill/>
        <a:ln w="9525">
          <a:noFill/>
          <a:miter lim="800000"/>
          <a:headEnd/>
          <a:tailEnd/>
        </a:ln>
      </xdr:spPr>
    </xdr:pic>
    <xdr:clientData/>
  </xdr:twoCellAnchor>
  <xdr:twoCellAnchor>
    <xdr:from>
      <xdr:col>255</xdr:col>
      <xdr:colOff>0</xdr:colOff>
      <xdr:row>0</xdr:row>
      <xdr:rowOff>152400</xdr:rowOff>
    </xdr:from>
    <xdr:to>
      <xdr:col>255</xdr:col>
      <xdr:colOff>0</xdr:colOff>
      <xdr:row>11</xdr:row>
      <xdr:rowOff>47625</xdr:rowOff>
    </xdr:to>
    <xdr:pic>
      <xdr:nvPicPr>
        <xdr:cNvPr id="2703" name="Picture 11"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52400"/>
          <a:ext cx="0" cy="1838325"/>
        </a:xfrm>
        <a:prstGeom prst="rect">
          <a:avLst/>
        </a:prstGeom>
        <a:noFill/>
        <a:ln w="9525">
          <a:noFill/>
          <a:miter lim="800000"/>
          <a:headEnd/>
          <a:tailEnd/>
        </a:ln>
      </xdr:spPr>
    </xdr:pic>
    <xdr:clientData/>
  </xdr:twoCellAnchor>
  <xdr:twoCellAnchor>
    <xdr:from>
      <xdr:col>255</xdr:col>
      <xdr:colOff>0</xdr:colOff>
      <xdr:row>1</xdr:row>
      <xdr:rowOff>0</xdr:rowOff>
    </xdr:from>
    <xdr:to>
      <xdr:col>255</xdr:col>
      <xdr:colOff>0</xdr:colOff>
      <xdr:row>11</xdr:row>
      <xdr:rowOff>85725</xdr:rowOff>
    </xdr:to>
    <xdr:pic>
      <xdr:nvPicPr>
        <xdr:cNvPr id="2704" name="Picture 12"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90500"/>
          <a:ext cx="0" cy="1838325"/>
        </a:xfrm>
        <a:prstGeom prst="rect">
          <a:avLst/>
        </a:prstGeom>
        <a:noFill/>
        <a:ln w="9525">
          <a:noFill/>
          <a:miter lim="800000"/>
          <a:headEnd/>
          <a:tailEnd/>
        </a:ln>
      </xdr:spPr>
    </xdr:pic>
    <xdr:clientData/>
  </xdr:twoCellAnchor>
  <xdr:twoCellAnchor>
    <xdr:from>
      <xdr:col>255</xdr:col>
      <xdr:colOff>0</xdr:colOff>
      <xdr:row>7</xdr:row>
      <xdr:rowOff>0</xdr:rowOff>
    </xdr:from>
    <xdr:to>
      <xdr:col>255</xdr:col>
      <xdr:colOff>0</xdr:colOff>
      <xdr:row>22</xdr:row>
      <xdr:rowOff>0</xdr:rowOff>
    </xdr:to>
    <xdr:pic>
      <xdr:nvPicPr>
        <xdr:cNvPr id="2705" name="Picture 13"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323975"/>
          <a:ext cx="0" cy="1790700"/>
        </a:xfrm>
        <a:prstGeom prst="rect">
          <a:avLst/>
        </a:prstGeom>
        <a:noFill/>
        <a:ln w="9525">
          <a:noFill/>
          <a:miter lim="800000"/>
          <a:headEnd/>
          <a:tailEnd/>
        </a:ln>
      </xdr:spPr>
    </xdr:pic>
    <xdr:clientData/>
  </xdr:twoCellAnchor>
  <xdr:twoCellAnchor editAs="oneCell">
    <xdr:from>
      <xdr:col>0</xdr:col>
      <xdr:colOff>161925</xdr:colOff>
      <xdr:row>0</xdr:row>
      <xdr:rowOff>114300</xdr:rowOff>
    </xdr:from>
    <xdr:to>
      <xdr:col>3</xdr:col>
      <xdr:colOff>363068</xdr:colOff>
      <xdr:row>2</xdr:row>
      <xdr:rowOff>162256</xdr:rowOff>
    </xdr:to>
    <xdr:pic>
      <xdr:nvPicPr>
        <xdr:cNvPr id="9"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161925" y="114300"/>
          <a:ext cx="1448918" cy="428956"/>
        </a:xfrm>
        <a:prstGeom prst="rect">
          <a:avLst/>
        </a:prstGeom>
        <a:noFill/>
      </xdr:spPr>
    </xdr:pic>
    <xdr:clientData/>
  </xdr:twoCellAnchor>
  <xdr:twoCellAnchor editAs="oneCell">
    <xdr:from>
      <xdr:col>4</xdr:col>
      <xdr:colOff>238125</xdr:colOff>
      <xdr:row>54</xdr:row>
      <xdr:rowOff>1762125</xdr:rowOff>
    </xdr:from>
    <xdr:to>
      <xdr:col>6</xdr:col>
      <xdr:colOff>29693</xdr:colOff>
      <xdr:row>54</xdr:row>
      <xdr:rowOff>2190750</xdr:rowOff>
    </xdr:to>
    <xdr:pic>
      <xdr:nvPicPr>
        <xdr:cNvPr id="10"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3695700" y="11506200"/>
          <a:ext cx="1448918" cy="4286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285750</xdr:colOff>
      <xdr:row>44</xdr:row>
      <xdr:rowOff>38100</xdr:rowOff>
    </xdr:from>
    <xdr:to>
      <xdr:col>7</xdr:col>
      <xdr:colOff>628650</xdr:colOff>
      <xdr:row>45</xdr:row>
      <xdr:rowOff>152400</xdr:rowOff>
    </xdr:to>
    <xdr:pic>
      <xdr:nvPicPr>
        <xdr:cNvPr id="6329" name="Picture 1" descr="A-member-of"/>
        <xdr:cNvPicPr>
          <a:picLocks noChangeAspect="1" noChangeArrowheads="1"/>
        </xdr:cNvPicPr>
      </xdr:nvPicPr>
      <xdr:blipFill>
        <a:blip xmlns:r="http://schemas.openxmlformats.org/officeDocument/2006/relationships" r:embed="rId1" cstate="print"/>
        <a:srcRect/>
        <a:stretch>
          <a:fillRect/>
        </a:stretch>
      </xdr:blipFill>
      <xdr:spPr bwMode="auto">
        <a:xfrm>
          <a:off x="1781175" y="9277350"/>
          <a:ext cx="2914650" cy="304800"/>
        </a:xfrm>
        <a:prstGeom prst="rect">
          <a:avLst/>
        </a:prstGeom>
        <a:noFill/>
        <a:ln w="9525">
          <a:noFill/>
          <a:miter lim="800000"/>
          <a:headEnd/>
          <a:tailEnd/>
        </a:ln>
      </xdr:spPr>
    </xdr:pic>
    <xdr:clientData/>
  </xdr:twoCellAnchor>
  <xdr:twoCellAnchor>
    <xdr:from>
      <xdr:col>0</xdr:col>
      <xdr:colOff>190500</xdr:colOff>
      <xdr:row>0</xdr:row>
      <xdr:rowOff>38100</xdr:rowOff>
    </xdr:from>
    <xdr:to>
      <xdr:col>3</xdr:col>
      <xdr:colOff>333375</xdr:colOff>
      <xdr:row>2</xdr:row>
      <xdr:rowOff>19050</xdr:rowOff>
    </xdr:to>
    <xdr:pic>
      <xdr:nvPicPr>
        <xdr:cNvPr id="6330" name="Picture 2" descr="EFG-Leasing"/>
        <xdr:cNvPicPr>
          <a:picLocks noChangeAspect="1" noChangeArrowheads="1"/>
        </xdr:cNvPicPr>
      </xdr:nvPicPr>
      <xdr:blipFill>
        <a:blip xmlns:r="http://schemas.openxmlformats.org/officeDocument/2006/relationships" r:embed="rId2" cstate="print"/>
        <a:srcRect/>
        <a:stretch>
          <a:fillRect/>
        </a:stretch>
      </xdr:blipFill>
      <xdr:spPr bwMode="auto">
        <a:xfrm>
          <a:off x="190500" y="38100"/>
          <a:ext cx="1638300" cy="3619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255</xdr:col>
      <xdr:colOff>0</xdr:colOff>
      <xdr:row>0</xdr:row>
      <xdr:rowOff>0</xdr:rowOff>
    </xdr:from>
    <xdr:to>
      <xdr:col>255</xdr:col>
      <xdr:colOff>0</xdr:colOff>
      <xdr:row>9</xdr:row>
      <xdr:rowOff>104775</xdr:rowOff>
    </xdr:to>
    <xdr:pic>
      <xdr:nvPicPr>
        <xdr:cNvPr id="2" name="Picture 9" descr="!cid_image001"/>
        <xdr:cNvPicPr>
          <a:picLocks noChangeAspect="1" noChangeArrowheads="1"/>
        </xdr:cNvPicPr>
      </xdr:nvPicPr>
      <xdr:blipFill>
        <a:blip xmlns:r="http://schemas.openxmlformats.org/officeDocument/2006/relationships" r:embed="rId1"/>
        <a:srcRect/>
        <a:stretch>
          <a:fillRect/>
        </a:stretch>
      </xdr:blipFill>
      <xdr:spPr bwMode="auto">
        <a:xfrm>
          <a:off x="0" y="0"/>
          <a:ext cx="0" cy="1819275"/>
        </a:xfrm>
        <a:prstGeom prst="rect">
          <a:avLst/>
        </a:prstGeom>
        <a:noFill/>
        <a:ln w="9525">
          <a:noFill/>
          <a:miter lim="800000"/>
          <a:headEnd/>
          <a:tailEnd/>
        </a:ln>
      </xdr:spPr>
    </xdr:pic>
    <xdr:clientData/>
  </xdr:twoCellAnchor>
  <xdr:twoCellAnchor>
    <xdr:from>
      <xdr:col>255</xdr:col>
      <xdr:colOff>0</xdr:colOff>
      <xdr:row>2</xdr:row>
      <xdr:rowOff>0</xdr:rowOff>
    </xdr:from>
    <xdr:to>
      <xdr:col>255</xdr:col>
      <xdr:colOff>0</xdr:colOff>
      <xdr:row>13</xdr:row>
      <xdr:rowOff>76200</xdr:rowOff>
    </xdr:to>
    <xdr:pic>
      <xdr:nvPicPr>
        <xdr:cNvPr id="3" name="Picture 10" descr="!cid_image001"/>
        <xdr:cNvPicPr>
          <a:picLocks noChangeAspect="1" noChangeArrowheads="1"/>
        </xdr:cNvPicPr>
      </xdr:nvPicPr>
      <xdr:blipFill>
        <a:blip xmlns:r="http://schemas.openxmlformats.org/officeDocument/2006/relationships" r:embed="rId1"/>
        <a:srcRect/>
        <a:stretch>
          <a:fillRect/>
        </a:stretch>
      </xdr:blipFill>
      <xdr:spPr bwMode="auto">
        <a:xfrm>
          <a:off x="0" y="381000"/>
          <a:ext cx="0" cy="2171700"/>
        </a:xfrm>
        <a:prstGeom prst="rect">
          <a:avLst/>
        </a:prstGeom>
        <a:noFill/>
        <a:ln w="9525">
          <a:noFill/>
          <a:miter lim="800000"/>
          <a:headEnd/>
          <a:tailEnd/>
        </a:ln>
      </xdr:spPr>
    </xdr:pic>
    <xdr:clientData/>
  </xdr:twoCellAnchor>
  <xdr:twoCellAnchor>
    <xdr:from>
      <xdr:col>255</xdr:col>
      <xdr:colOff>0</xdr:colOff>
      <xdr:row>0</xdr:row>
      <xdr:rowOff>152400</xdr:rowOff>
    </xdr:from>
    <xdr:to>
      <xdr:col>255</xdr:col>
      <xdr:colOff>0</xdr:colOff>
      <xdr:row>11</xdr:row>
      <xdr:rowOff>47625</xdr:rowOff>
    </xdr:to>
    <xdr:pic>
      <xdr:nvPicPr>
        <xdr:cNvPr id="4" name="Picture 11" descr="!cid_image001"/>
        <xdr:cNvPicPr>
          <a:picLocks noChangeAspect="1" noChangeArrowheads="1"/>
        </xdr:cNvPicPr>
      </xdr:nvPicPr>
      <xdr:blipFill>
        <a:blip xmlns:r="http://schemas.openxmlformats.org/officeDocument/2006/relationships" r:embed="rId1"/>
        <a:srcRect/>
        <a:stretch>
          <a:fillRect/>
        </a:stretch>
      </xdr:blipFill>
      <xdr:spPr bwMode="auto">
        <a:xfrm>
          <a:off x="0" y="152400"/>
          <a:ext cx="0" cy="1990725"/>
        </a:xfrm>
        <a:prstGeom prst="rect">
          <a:avLst/>
        </a:prstGeom>
        <a:noFill/>
        <a:ln w="9525">
          <a:noFill/>
          <a:miter lim="800000"/>
          <a:headEnd/>
          <a:tailEnd/>
        </a:ln>
      </xdr:spPr>
    </xdr:pic>
    <xdr:clientData/>
  </xdr:twoCellAnchor>
  <xdr:twoCellAnchor>
    <xdr:from>
      <xdr:col>255</xdr:col>
      <xdr:colOff>0</xdr:colOff>
      <xdr:row>1</xdr:row>
      <xdr:rowOff>0</xdr:rowOff>
    </xdr:from>
    <xdr:to>
      <xdr:col>255</xdr:col>
      <xdr:colOff>0</xdr:colOff>
      <xdr:row>11</xdr:row>
      <xdr:rowOff>85725</xdr:rowOff>
    </xdr:to>
    <xdr:pic>
      <xdr:nvPicPr>
        <xdr:cNvPr id="5" name="Picture 12" descr="!cid_image001"/>
        <xdr:cNvPicPr>
          <a:picLocks noChangeAspect="1" noChangeArrowheads="1"/>
        </xdr:cNvPicPr>
      </xdr:nvPicPr>
      <xdr:blipFill>
        <a:blip xmlns:r="http://schemas.openxmlformats.org/officeDocument/2006/relationships" r:embed="rId1"/>
        <a:srcRect/>
        <a:stretch>
          <a:fillRect/>
        </a:stretch>
      </xdr:blipFill>
      <xdr:spPr bwMode="auto">
        <a:xfrm>
          <a:off x="0" y="190500"/>
          <a:ext cx="0" cy="1990725"/>
        </a:xfrm>
        <a:prstGeom prst="rect">
          <a:avLst/>
        </a:prstGeom>
        <a:noFill/>
        <a:ln w="9525">
          <a:noFill/>
          <a:miter lim="800000"/>
          <a:headEnd/>
          <a:tailEnd/>
        </a:ln>
      </xdr:spPr>
    </xdr:pic>
    <xdr:clientData/>
  </xdr:twoCellAnchor>
  <xdr:twoCellAnchor>
    <xdr:from>
      <xdr:col>255</xdr:col>
      <xdr:colOff>0</xdr:colOff>
      <xdr:row>7</xdr:row>
      <xdr:rowOff>0</xdr:rowOff>
    </xdr:from>
    <xdr:to>
      <xdr:col>255</xdr:col>
      <xdr:colOff>0</xdr:colOff>
      <xdr:row>22</xdr:row>
      <xdr:rowOff>0</xdr:rowOff>
    </xdr:to>
    <xdr:pic>
      <xdr:nvPicPr>
        <xdr:cNvPr id="6" name="Picture 13" descr="!cid_image001"/>
        <xdr:cNvPicPr>
          <a:picLocks noChangeAspect="1" noChangeArrowheads="1"/>
        </xdr:cNvPicPr>
      </xdr:nvPicPr>
      <xdr:blipFill>
        <a:blip xmlns:r="http://schemas.openxmlformats.org/officeDocument/2006/relationships" r:embed="rId1"/>
        <a:srcRect/>
        <a:stretch>
          <a:fillRect/>
        </a:stretch>
      </xdr:blipFill>
      <xdr:spPr bwMode="auto">
        <a:xfrm>
          <a:off x="0" y="1333500"/>
          <a:ext cx="0" cy="2857500"/>
        </a:xfrm>
        <a:prstGeom prst="rect">
          <a:avLst/>
        </a:prstGeom>
        <a:noFill/>
        <a:ln w="9525">
          <a:noFill/>
          <a:miter lim="800000"/>
          <a:headEnd/>
          <a:tailEnd/>
        </a:ln>
      </xdr:spPr>
    </xdr:pic>
    <xdr:clientData/>
  </xdr:twoCellAnchor>
  <xdr:twoCellAnchor editAs="oneCell">
    <xdr:from>
      <xdr:col>0</xdr:col>
      <xdr:colOff>114300</xdr:colOff>
      <xdr:row>2</xdr:row>
      <xdr:rowOff>190500</xdr:rowOff>
    </xdr:from>
    <xdr:to>
      <xdr:col>3</xdr:col>
      <xdr:colOff>398266</xdr:colOff>
      <xdr:row>4</xdr:row>
      <xdr:rowOff>171780</xdr:rowOff>
    </xdr:to>
    <xdr:pic>
      <xdr:nvPicPr>
        <xdr:cNvPr id="7"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0" y="571500"/>
          <a:ext cx="0" cy="36228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57150</xdr:colOff>
      <xdr:row>0</xdr:row>
      <xdr:rowOff>66675</xdr:rowOff>
    </xdr:from>
    <xdr:to>
      <xdr:col>2</xdr:col>
      <xdr:colOff>153518</xdr:colOff>
      <xdr:row>2</xdr:row>
      <xdr:rowOff>114631</xdr:rowOff>
    </xdr:to>
    <xdr:pic>
      <xdr:nvPicPr>
        <xdr:cNvPr id="4"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57150" y="66675"/>
          <a:ext cx="1448918" cy="428956"/>
        </a:xfrm>
        <a:prstGeom prst="rect">
          <a:avLst/>
        </a:prstGeom>
        <a:noFill/>
      </xdr:spPr>
    </xdr:pic>
    <xdr:clientData/>
  </xdr:twoCellAnchor>
  <xdr:twoCellAnchor editAs="oneCell">
    <xdr:from>
      <xdr:col>3</xdr:col>
      <xdr:colOff>28575</xdr:colOff>
      <xdr:row>96</xdr:row>
      <xdr:rowOff>217965</xdr:rowOff>
    </xdr:from>
    <xdr:to>
      <xdr:col>4</xdr:col>
      <xdr:colOff>57150</xdr:colOff>
      <xdr:row>98</xdr:row>
      <xdr:rowOff>152399</xdr:rowOff>
    </xdr:to>
    <xdr:pic>
      <xdr:nvPicPr>
        <xdr:cNvPr id="5"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2943225" y="18877440"/>
          <a:ext cx="1323975" cy="344009"/>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57150</xdr:colOff>
      <xdr:row>0</xdr:row>
      <xdr:rowOff>38100</xdr:rowOff>
    </xdr:from>
    <xdr:to>
      <xdr:col>2</xdr:col>
      <xdr:colOff>346558</xdr:colOff>
      <xdr:row>2</xdr:row>
      <xdr:rowOff>143206</xdr:rowOff>
    </xdr:to>
    <xdr:pic>
      <xdr:nvPicPr>
        <xdr:cNvPr id="2"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0" cy="486106"/>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0</xdr:row>
      <xdr:rowOff>0</xdr:rowOff>
    </xdr:from>
    <xdr:to>
      <xdr:col>1</xdr:col>
      <xdr:colOff>619125</xdr:colOff>
      <xdr:row>2</xdr:row>
      <xdr:rowOff>47625</xdr:rowOff>
    </xdr:to>
    <xdr:pic>
      <xdr:nvPicPr>
        <xdr:cNvPr id="9430" name="Picture 21" descr="EFG-Leasing"/>
        <xdr:cNvPicPr>
          <a:picLocks noChangeAspect="1" noChangeArrowheads="1"/>
        </xdr:cNvPicPr>
      </xdr:nvPicPr>
      <xdr:blipFill>
        <a:blip xmlns:r="http://schemas.openxmlformats.org/officeDocument/2006/relationships" r:embed="rId1" cstate="print"/>
        <a:srcRect/>
        <a:stretch>
          <a:fillRect/>
        </a:stretch>
      </xdr:blipFill>
      <xdr:spPr bwMode="auto">
        <a:xfrm>
          <a:off x="38100" y="0"/>
          <a:ext cx="1343025" cy="352425"/>
        </a:xfrm>
        <a:prstGeom prst="rect">
          <a:avLst/>
        </a:prstGeom>
        <a:noFill/>
        <a:ln w="9525">
          <a:noFill/>
          <a:miter lim="800000"/>
          <a:headEnd/>
          <a:tailEnd/>
        </a:ln>
      </xdr:spPr>
    </xdr:pic>
    <xdr:clientData/>
  </xdr:twoCellAnchor>
  <xdr:twoCellAnchor>
    <xdr:from>
      <xdr:col>0</xdr:col>
      <xdr:colOff>66675</xdr:colOff>
      <xdr:row>25</xdr:row>
      <xdr:rowOff>142875</xdr:rowOff>
    </xdr:from>
    <xdr:to>
      <xdr:col>3</xdr:col>
      <xdr:colOff>2314575</xdr:colOff>
      <xdr:row>51</xdr:row>
      <xdr:rowOff>133350</xdr:rowOff>
    </xdr:to>
    <xdr:graphicFrame macro="">
      <xdr:nvGraphicFramePr>
        <xdr:cNvPr id="9431"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55</xdr:row>
      <xdr:rowOff>76200</xdr:rowOff>
    </xdr:from>
    <xdr:to>
      <xdr:col>0</xdr:col>
      <xdr:colOff>0</xdr:colOff>
      <xdr:row>57</xdr:row>
      <xdr:rowOff>0</xdr:rowOff>
    </xdr:to>
    <xdr:pic>
      <xdr:nvPicPr>
        <xdr:cNvPr id="4471" name="Picture 3" descr="A-member-of"/>
        <xdr:cNvPicPr>
          <a:picLocks noChangeAspect="1" noChangeArrowheads="1"/>
        </xdr:cNvPicPr>
      </xdr:nvPicPr>
      <xdr:blipFill>
        <a:blip xmlns:r="http://schemas.openxmlformats.org/officeDocument/2006/relationships" r:embed="rId1"/>
        <a:srcRect/>
        <a:stretch>
          <a:fillRect/>
        </a:stretch>
      </xdr:blipFill>
      <xdr:spPr bwMode="auto">
        <a:xfrm>
          <a:off x="0" y="10991850"/>
          <a:ext cx="0" cy="304800"/>
        </a:xfrm>
        <a:prstGeom prst="rect">
          <a:avLst/>
        </a:prstGeom>
        <a:noFill/>
        <a:ln w="9525">
          <a:noFill/>
          <a:miter lim="800000"/>
          <a:headEnd/>
          <a:tailEnd/>
        </a:ln>
      </xdr:spPr>
    </xdr:pic>
    <xdr:clientData/>
  </xdr:twoCellAnchor>
  <xdr:twoCellAnchor>
    <xdr:from>
      <xdr:col>0</xdr:col>
      <xdr:colOff>0</xdr:colOff>
      <xdr:row>8</xdr:row>
      <xdr:rowOff>38100</xdr:rowOff>
    </xdr:from>
    <xdr:to>
      <xdr:col>0</xdr:col>
      <xdr:colOff>0</xdr:colOff>
      <xdr:row>10</xdr:row>
      <xdr:rowOff>19050</xdr:rowOff>
    </xdr:to>
    <xdr:pic>
      <xdr:nvPicPr>
        <xdr:cNvPr id="4472" name="Picture 5" descr="EFG-Leasing"/>
        <xdr:cNvPicPr>
          <a:picLocks noChangeAspect="1" noChangeArrowheads="1"/>
        </xdr:cNvPicPr>
      </xdr:nvPicPr>
      <xdr:blipFill>
        <a:blip xmlns:r="http://schemas.openxmlformats.org/officeDocument/2006/relationships" r:embed="rId2"/>
        <a:srcRect/>
        <a:stretch>
          <a:fillRect/>
        </a:stretch>
      </xdr:blipFill>
      <xdr:spPr bwMode="auto">
        <a:xfrm>
          <a:off x="0" y="1724025"/>
          <a:ext cx="0" cy="371475"/>
        </a:xfrm>
        <a:prstGeom prst="rect">
          <a:avLst/>
        </a:prstGeom>
        <a:noFill/>
        <a:ln w="9525">
          <a:noFill/>
          <a:miter lim="800000"/>
          <a:headEnd/>
          <a:tailEnd/>
        </a:ln>
      </xdr:spPr>
    </xdr:pic>
    <xdr:clientData/>
  </xdr:twoCellAnchor>
  <xdr:twoCellAnchor editAs="oneCell">
    <xdr:from>
      <xdr:col>0</xdr:col>
      <xdr:colOff>137583</xdr:colOff>
      <xdr:row>4</xdr:row>
      <xdr:rowOff>116417</xdr:rowOff>
    </xdr:from>
    <xdr:to>
      <xdr:col>0</xdr:col>
      <xdr:colOff>1586501</xdr:colOff>
      <xdr:row>6</xdr:row>
      <xdr:rowOff>79706</xdr:rowOff>
    </xdr:to>
    <xdr:pic>
      <xdr:nvPicPr>
        <xdr:cNvPr id="6" name="Picture 298" descr="ERB LEASING"/>
        <xdr:cNvPicPr>
          <a:picLocks noChangeAspect="1" noChangeArrowheads="1"/>
        </xdr:cNvPicPr>
      </xdr:nvPicPr>
      <xdr:blipFill>
        <a:blip xmlns:r="http://schemas.openxmlformats.org/officeDocument/2006/relationships" r:embed="rId3" cstate="print"/>
        <a:srcRect/>
        <a:stretch>
          <a:fillRect/>
        </a:stretch>
      </xdr:blipFill>
      <xdr:spPr bwMode="auto">
        <a:xfrm>
          <a:off x="137583" y="920750"/>
          <a:ext cx="1448918" cy="428956"/>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67.8.227\Users\pmilenkovic\Dokumenta\Excel%20fajlovi\Probni%20kalkulatori\Calculator-Standard-polovna%20oprema-POSLEDNJ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KALKULATOR%20ALMEX%20AKCIJA%206%20mese&#269;ne%20rate%20FINAL%20NEW%20IMPROVE%20SUPER%20DUPER.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icing"/>
      <sheetName val="Calculator"/>
      <sheetName val="Payment plan"/>
      <sheetName val="Ponuda"/>
      <sheetName val="Offer"/>
      <sheetName val="Vat financing"/>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USLOVI AKCIJE I KRATKO UPUTSVO"/>
      <sheetName val="Kalkulator"/>
      <sheetName val="PONUDA"/>
      <sheetName val="Plan otplate"/>
      <sheetName val="DOKUMENTACIJA POLJOPRIVREDNIK"/>
      <sheetName val="MARKET VALUE"/>
      <sheetName val="PDV tabela"/>
    </sheetNames>
    <sheetDataSet>
      <sheetData sheetId="0">
        <row r="5">
          <cell r="B5">
            <v>1</v>
          </cell>
        </row>
      </sheetData>
      <sheetData sheetId="1">
        <row r="5">
          <cell r="C5">
            <v>41479</v>
          </cell>
        </row>
        <row r="25">
          <cell r="C25">
            <v>10</v>
          </cell>
        </row>
        <row r="27">
          <cell r="C27">
            <v>0</v>
          </cell>
        </row>
        <row r="29">
          <cell r="C29">
            <v>1</v>
          </cell>
        </row>
        <row r="31">
          <cell r="C31">
            <v>0</v>
          </cell>
        </row>
        <row r="40">
          <cell r="F40">
            <v>2323.3736258951976</v>
          </cell>
        </row>
        <row r="43">
          <cell r="F43">
            <v>8632.3373625895201</v>
          </cell>
        </row>
        <row r="55">
          <cell r="F55">
            <v>26</v>
          </cell>
        </row>
        <row r="56">
          <cell r="F56">
            <v>1440</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codeName="Sheet1" enableFormatConditionsCalculation="0">
    <tabColor indexed="18"/>
  </sheetPr>
  <dimension ref="A1:XFD125"/>
  <sheetViews>
    <sheetView showGridLines="0" topLeftCell="A9" zoomScaleNormal="100" workbookViewId="0">
      <selection activeCell="C27" sqref="C27:H27"/>
    </sheetView>
  </sheetViews>
  <sheetFormatPr defaultColWidth="8.77734375" defaultRowHeight="15" zeroHeight="1"/>
  <cols>
    <col min="1" max="1" width="4" style="1" customWidth="1"/>
    <col min="2" max="2" width="31.44140625" style="1" customWidth="1"/>
    <col min="3" max="3" width="6.88671875" style="1" customWidth="1"/>
    <col min="4" max="4" width="6.33203125" style="1" bestFit="1" customWidth="1"/>
    <col min="5" max="5" width="7" style="1" customWidth="1"/>
    <col min="6" max="6" width="7.77734375" style="1" customWidth="1"/>
    <col min="7" max="7" width="5.44140625" style="1" customWidth="1"/>
    <col min="8" max="8" width="3.109375" style="1" customWidth="1"/>
    <col min="9" max="9" width="2.21875" style="1" customWidth="1"/>
    <col min="10" max="10" width="15.109375" style="1" customWidth="1"/>
    <col min="11" max="11" width="12.5546875" style="1" customWidth="1"/>
    <col min="12" max="12" width="1.5546875" style="1" customWidth="1"/>
    <col min="13" max="14" width="12" style="1" hidden="1" customWidth="1"/>
    <col min="15" max="15" width="5.44140625" style="1" hidden="1" customWidth="1"/>
    <col min="16" max="16" width="11.6640625" style="18" hidden="1" customWidth="1"/>
    <col min="17" max="17" width="15.44140625" style="18" hidden="1" customWidth="1"/>
    <col min="18" max="25" width="8.88671875" style="18" hidden="1" customWidth="1"/>
    <col min="26" max="26" width="19.88671875" style="56" hidden="1" customWidth="1"/>
    <col min="27" max="27" width="20.88671875" style="1" hidden="1" customWidth="1"/>
    <col min="28" max="28" width="12" style="1" hidden="1" customWidth="1"/>
    <col min="29" max="30" width="20.88671875" style="1" hidden="1" customWidth="1"/>
    <col min="31" max="16384" width="8.77734375" style="1"/>
  </cols>
  <sheetData>
    <row r="1" spans="1:26 16384:16384" hidden="1"/>
    <row r="2" spans="1:26 16384:16384" hidden="1"/>
    <row r="3" spans="1:26 16384:16384" ht="7.5" customHeight="1" thickBot="1"/>
    <row r="4" spans="1:26 16384:16384" ht="21.75" thickBot="1">
      <c r="B4" s="519" t="s">
        <v>180</v>
      </c>
      <c r="C4" s="520"/>
      <c r="D4" s="520"/>
      <c r="E4" s="520"/>
      <c r="F4" s="520"/>
      <c r="G4" s="520"/>
      <c r="H4" s="520"/>
      <c r="I4" s="520"/>
      <c r="J4" s="520"/>
      <c r="K4" s="520"/>
      <c r="L4" s="520"/>
      <c r="M4" s="520"/>
      <c r="N4" s="521"/>
    </row>
    <row r="5" spans="1:26 16384:16384" ht="18" customHeight="1" thickBot="1">
      <c r="B5" s="20"/>
      <c r="C5" s="20"/>
      <c r="D5" s="20"/>
      <c r="E5" s="20"/>
      <c r="F5" s="528">
        <v>2</v>
      </c>
      <c r="G5" s="529"/>
      <c r="H5" s="529"/>
      <c r="I5" s="529"/>
      <c r="J5" s="530"/>
      <c r="K5" s="305" t="str">
        <f>IF(F5=1,"OPREMA","VOZILO")</f>
        <v>VOZILO</v>
      </c>
      <c r="L5" s="258"/>
      <c r="Z5" s="62"/>
    </row>
    <row r="6" spans="1:26 16384:16384" ht="17.25" customHeight="1" thickBot="1">
      <c r="B6" s="63"/>
      <c r="C6" s="63"/>
      <c r="D6" s="63"/>
      <c r="E6" s="63"/>
      <c r="F6" s="63"/>
      <c r="G6" s="63"/>
      <c r="H6" s="63"/>
      <c r="O6" s="3"/>
      <c r="Z6" s="173"/>
    </row>
    <row r="7" spans="1:26 16384:16384" ht="15" customHeight="1" thickBot="1">
      <c r="A7" s="56"/>
      <c r="B7" s="339" t="s">
        <v>91</v>
      </c>
      <c r="C7" s="526" t="s">
        <v>253</v>
      </c>
      <c r="D7" s="526"/>
      <c r="E7" s="526"/>
      <c r="F7" s="526"/>
      <c r="G7" s="526"/>
      <c r="H7" s="527"/>
      <c r="I7" s="83"/>
      <c r="J7" s="199" t="s">
        <v>95</v>
      </c>
      <c r="K7" s="200">
        <f ca="1">TODAY()</f>
        <v>41626</v>
      </c>
      <c r="O7" s="67"/>
      <c r="Z7" s="173"/>
    </row>
    <row r="8" spans="1:26 16384:16384" ht="15" customHeight="1" thickBot="1">
      <c r="A8" s="56"/>
      <c r="B8" s="235"/>
      <c r="C8" s="107"/>
      <c r="D8" s="107"/>
      <c r="E8" s="107"/>
      <c r="F8" s="107"/>
      <c r="G8" s="107"/>
      <c r="H8" s="236"/>
      <c r="I8" s="83"/>
      <c r="J8" s="214" t="s">
        <v>80</v>
      </c>
      <c r="K8" s="245">
        <v>6.54E-2</v>
      </c>
      <c r="L8" s="67"/>
      <c r="O8" s="67"/>
      <c r="Z8" s="173"/>
    </row>
    <row r="9" spans="1:26 16384:16384" ht="15" customHeight="1" thickBot="1">
      <c r="A9" s="56"/>
      <c r="B9" s="339" t="s">
        <v>129</v>
      </c>
      <c r="C9" s="526" t="s">
        <v>252</v>
      </c>
      <c r="D9" s="526"/>
      <c r="E9" s="526"/>
      <c r="F9" s="526"/>
      <c r="G9" s="526"/>
      <c r="H9" s="527"/>
      <c r="I9" s="83"/>
      <c r="J9" s="214" t="s">
        <v>81</v>
      </c>
      <c r="K9" s="245">
        <v>5.0000000000000001E-3</v>
      </c>
      <c r="L9" s="18"/>
      <c r="M9" s="18"/>
      <c r="N9" s="18"/>
      <c r="O9" s="18"/>
      <c r="U9" s="173"/>
      <c r="V9" s="1"/>
      <c r="W9" s="1"/>
      <c r="X9" s="1"/>
      <c r="Y9" s="1"/>
      <c r="Z9" s="1"/>
    </row>
    <row r="10" spans="1:26 16384:16384" ht="15" customHeight="1" thickBot="1">
      <c r="A10" s="56"/>
      <c r="B10" s="235"/>
      <c r="C10" s="77"/>
      <c r="D10" s="77"/>
      <c r="E10" s="77"/>
      <c r="F10" s="77"/>
      <c r="G10" s="77"/>
      <c r="H10" s="237"/>
      <c r="I10" s="67"/>
      <c r="J10" s="214" t="s">
        <v>157</v>
      </c>
      <c r="K10" s="246">
        <v>2.8999999999999998E-3</v>
      </c>
      <c r="L10" s="18"/>
      <c r="M10" s="18"/>
      <c r="N10" s="18"/>
      <c r="O10" s="18"/>
      <c r="U10" s="173"/>
      <c r="V10" s="1"/>
      <c r="W10" s="1"/>
      <c r="X10" s="1"/>
      <c r="Y10" s="1"/>
      <c r="Z10" s="1"/>
    </row>
    <row r="11" spans="1:26 16384:16384" ht="15" customHeight="1" thickBot="1">
      <c r="A11" s="56"/>
      <c r="B11" s="339" t="s">
        <v>130</v>
      </c>
      <c r="C11" s="496"/>
      <c r="D11" s="496"/>
      <c r="E11" s="496"/>
      <c r="F11" s="496"/>
      <c r="G11" s="496"/>
      <c r="H11" s="497"/>
      <c r="I11" s="84"/>
      <c r="J11" s="214" t="s">
        <v>136</v>
      </c>
      <c r="K11" s="263">
        <f>K8-K10</f>
        <v>6.25E-2</v>
      </c>
      <c r="L11" s="18"/>
      <c r="M11" s="18"/>
      <c r="N11" s="18"/>
      <c r="O11" s="18"/>
      <c r="U11" s="173"/>
      <c r="V11" s="1"/>
      <c r="W11" s="1"/>
      <c r="X11" s="1"/>
      <c r="Y11" s="1"/>
      <c r="Z11" s="1"/>
    </row>
    <row r="12" spans="1:26 16384:16384" ht="15" customHeight="1" thickBot="1">
      <c r="A12" s="56"/>
      <c r="B12" s="235"/>
      <c r="C12" s="78"/>
      <c r="D12" s="78"/>
      <c r="E12" s="78"/>
      <c r="F12" s="78"/>
      <c r="G12" s="78"/>
      <c r="H12" s="238"/>
      <c r="I12" s="85"/>
      <c r="J12" s="214" t="s">
        <v>137</v>
      </c>
      <c r="K12" s="247" t="s">
        <v>138</v>
      </c>
      <c r="L12" s="18"/>
      <c r="M12" s="18"/>
      <c r="N12" s="18"/>
      <c r="O12" s="18"/>
      <c r="U12" s="173"/>
      <c r="V12" s="1"/>
      <c r="W12" s="1"/>
      <c r="X12" s="1"/>
      <c r="Y12" s="1"/>
      <c r="Z12" s="1"/>
    </row>
    <row r="13" spans="1:26 16384:16384" ht="15" customHeight="1" thickBot="1">
      <c r="A13" s="56"/>
      <c r="B13" s="340" t="s">
        <v>102</v>
      </c>
      <c r="C13" s="133"/>
      <c r="D13" s="132"/>
      <c r="E13" s="132"/>
      <c r="F13" s="231"/>
      <c r="G13" s="229"/>
      <c r="H13" s="197"/>
      <c r="I13" s="86"/>
      <c r="J13" s="248" t="s">
        <v>203</v>
      </c>
      <c r="K13" s="396">
        <v>0.09</v>
      </c>
      <c r="L13" s="69"/>
      <c r="M13" s="67"/>
      <c r="N13" s="87"/>
      <c r="O13" s="67"/>
      <c r="P13" s="56"/>
      <c r="Z13" s="173"/>
    </row>
    <row r="14" spans="1:26 16384:16384" ht="15" customHeight="1" thickBot="1">
      <c r="A14" s="232"/>
      <c r="B14" s="341"/>
      <c r="C14" s="233"/>
      <c r="D14" s="233"/>
      <c r="E14" s="233"/>
      <c r="F14" s="234"/>
      <c r="G14" s="233"/>
      <c r="H14" s="239"/>
      <c r="I14" s="86"/>
      <c r="J14" s="248" t="s">
        <v>204</v>
      </c>
      <c r="K14" s="396">
        <v>0.1</v>
      </c>
      <c r="L14" s="69"/>
      <c r="M14" s="67"/>
      <c r="N14" s="87"/>
      <c r="O14" s="67"/>
      <c r="P14" s="230"/>
      <c r="Z14" s="173"/>
    </row>
    <row r="15" spans="1:26 16384:16384" ht="15.75" thickBot="1">
      <c r="B15" s="342" t="s">
        <v>183</v>
      </c>
      <c r="C15" s="504"/>
      <c r="D15" s="505"/>
      <c r="E15" s="505"/>
      <c r="F15" s="505"/>
      <c r="G15" s="505"/>
      <c r="H15" s="506"/>
      <c r="I15" s="68"/>
      <c r="J15" s="227"/>
      <c r="K15" s="228"/>
      <c r="L15" s="84"/>
      <c r="M15" s="68"/>
      <c r="N15" s="68"/>
      <c r="O15" s="68"/>
      <c r="P15" s="224"/>
      <c r="Z15" s="173"/>
    </row>
    <row r="16" spans="1:26 16384:16384" ht="15" customHeight="1" thickBot="1">
      <c r="A16" s="56"/>
      <c r="B16" s="235"/>
      <c r="C16" s="79"/>
      <c r="D16" s="79"/>
      <c r="E16" s="79"/>
      <c r="F16" s="79"/>
      <c r="G16" s="79"/>
      <c r="H16" s="240"/>
      <c r="I16" s="88"/>
      <c r="J16" s="531" t="s">
        <v>238</v>
      </c>
      <c r="K16" s="532"/>
      <c r="L16" s="533"/>
      <c r="M16" s="68"/>
      <c r="N16" s="83"/>
      <c r="O16" s="89"/>
      <c r="P16" s="56"/>
      <c r="Q16" s="215"/>
      <c r="Z16" s="173"/>
      <c r="XFD16" s="213"/>
    </row>
    <row r="17" spans="1:26 16384:16384" ht="15" customHeight="1" thickBot="1">
      <c r="A17" s="56"/>
      <c r="B17" s="339" t="s">
        <v>97</v>
      </c>
      <c r="C17" s="498">
        <v>30000</v>
      </c>
      <c r="D17" s="498"/>
      <c r="E17" s="498"/>
      <c r="F17" s="498"/>
      <c r="G17" s="498"/>
      <c r="H17" s="499"/>
      <c r="I17" s="88"/>
      <c r="J17" s="534"/>
      <c r="K17" s="535"/>
      <c r="L17" s="536"/>
      <c r="M17" s="68"/>
      <c r="N17" s="83"/>
      <c r="O17" s="89"/>
      <c r="P17" s="56"/>
      <c r="Q17" s="215"/>
      <c r="Z17" s="173"/>
      <c r="XFD17" s="213"/>
    </row>
    <row r="18" spans="1:26 16384:16384" ht="15" customHeight="1" thickBot="1">
      <c r="A18" s="56"/>
      <c r="B18" s="235"/>
      <c r="C18" s="79"/>
      <c r="D18" s="79"/>
      <c r="E18" s="79"/>
      <c r="F18" s="79"/>
      <c r="G18" s="79"/>
      <c r="H18" s="240"/>
      <c r="I18" s="88"/>
      <c r="J18" s="534"/>
      <c r="K18" s="535"/>
      <c r="L18" s="536"/>
      <c r="M18" s="68"/>
      <c r="N18" s="83"/>
      <c r="O18" s="89"/>
      <c r="P18" s="56"/>
      <c r="Q18" s="215"/>
      <c r="Z18" s="173"/>
      <c r="XFD18" s="213"/>
    </row>
    <row r="19" spans="1:26 16384:16384" ht="15" customHeight="1" thickBot="1">
      <c r="A19" s="56"/>
      <c r="B19" s="339" t="s">
        <v>85</v>
      </c>
      <c r="C19" s="502">
        <f>IF(Pricing!B5=2, C17, C17/1.2)</f>
        <v>25000</v>
      </c>
      <c r="D19" s="502"/>
      <c r="E19" s="502"/>
      <c r="F19" s="502"/>
      <c r="G19" s="502"/>
      <c r="H19" s="503"/>
      <c r="I19" s="90"/>
      <c r="J19" s="534"/>
      <c r="K19" s="535"/>
      <c r="L19" s="536"/>
      <c r="M19" s="89"/>
      <c r="N19" s="89"/>
      <c r="O19" s="67"/>
      <c r="P19" s="56"/>
      <c r="Q19" s="215"/>
      <c r="Z19" s="173"/>
      <c r="XFD19" s="213"/>
    </row>
    <row r="20" spans="1:26 16384:16384" ht="18" customHeight="1" thickBot="1">
      <c r="A20" s="56"/>
      <c r="B20" s="235"/>
      <c r="C20" s="108"/>
      <c r="D20" s="108"/>
      <c r="E20" s="108"/>
      <c r="F20" s="108"/>
      <c r="G20" s="108"/>
      <c r="H20" s="241"/>
      <c r="I20" s="88"/>
      <c r="J20" s="534"/>
      <c r="K20" s="535"/>
      <c r="L20" s="536"/>
      <c r="M20" s="67"/>
      <c r="N20" s="67"/>
      <c r="O20" s="68"/>
      <c r="P20" s="56"/>
      <c r="Q20" s="215"/>
      <c r="Z20" s="173"/>
      <c r="XFD20" s="213"/>
    </row>
    <row r="21" spans="1:26 16384:16384" ht="15" customHeight="1" thickBot="1">
      <c r="A21" s="56"/>
      <c r="B21" s="339" t="s">
        <v>96</v>
      </c>
      <c r="C21" s="522">
        <v>0.1</v>
      </c>
      <c r="D21" s="522"/>
      <c r="E21" s="522"/>
      <c r="F21" s="522"/>
      <c r="G21" s="522"/>
      <c r="H21" s="523"/>
      <c r="I21" s="91"/>
      <c r="J21" s="537"/>
      <c r="K21" s="538"/>
      <c r="L21" s="539"/>
      <c r="M21" s="92"/>
      <c r="N21" s="92"/>
      <c r="O21" s="93"/>
      <c r="P21" s="56"/>
      <c r="Q21" s="215"/>
      <c r="Z21" s="173"/>
      <c r="XFD21" s="213"/>
    </row>
    <row r="22" spans="1:26 16384:16384" ht="15" customHeight="1" thickBot="1">
      <c r="A22" s="56"/>
      <c r="B22" s="235"/>
      <c r="C22" s="81"/>
      <c r="D22" s="81"/>
      <c r="E22" s="81"/>
      <c r="F22" s="81"/>
      <c r="G22" s="81"/>
      <c r="H22" s="242"/>
      <c r="I22" s="91"/>
      <c r="J22" s="169" t="str">
        <f>IF(Kalkulator!K8="N.A", "Ovaj izbor nije dozvoljen!", " ")</f>
        <v xml:space="preserve"> </v>
      </c>
      <c r="K22" s="171"/>
      <c r="L22" s="171"/>
      <c r="M22" s="171"/>
      <c r="N22" s="171"/>
      <c r="O22" s="93"/>
      <c r="P22" s="56"/>
      <c r="Z22" s="173"/>
    </row>
    <row r="23" spans="1:26 16384:16384" ht="15" customHeight="1" thickBot="1">
      <c r="A23" s="56"/>
      <c r="B23" s="339" t="s">
        <v>88</v>
      </c>
      <c r="C23" s="524">
        <v>60</v>
      </c>
      <c r="D23" s="500"/>
      <c r="E23" s="500"/>
      <c r="F23" s="500"/>
      <c r="G23" s="500"/>
      <c r="H23" s="501"/>
      <c r="I23" s="91"/>
      <c r="J23" s="198" t="s">
        <v>144</v>
      </c>
      <c r="K23" s="259">
        <f>IF(Kalkulator!K8="N.A", " ", Ponuda1M!H21)</f>
        <v>440.66001602645463</v>
      </c>
      <c r="L23" s="171"/>
      <c r="M23" s="171"/>
      <c r="N23" s="171"/>
      <c r="O23" s="93"/>
      <c r="P23" s="56"/>
      <c r="Z23" s="173"/>
    </row>
    <row r="24" spans="1:26 16384:16384" ht="15" customHeight="1" thickBot="1">
      <c r="A24" s="56"/>
      <c r="B24" s="341"/>
      <c r="C24" s="170"/>
      <c r="D24" s="170"/>
      <c r="E24" s="170"/>
      <c r="F24" s="170"/>
      <c r="G24" s="170"/>
      <c r="H24" s="243"/>
      <c r="I24" s="91"/>
      <c r="J24" s="254" t="s">
        <v>143</v>
      </c>
      <c r="K24" s="260">
        <f>$F$41</f>
        <v>3939.600961587279</v>
      </c>
      <c r="L24" s="171"/>
      <c r="M24" s="171"/>
      <c r="N24" s="171"/>
      <c r="O24" s="93"/>
      <c r="P24" s="56"/>
      <c r="Z24" s="173"/>
    </row>
    <row r="25" spans="1:26 16384:16384" ht="15" customHeight="1" thickBot="1">
      <c r="A25" s="56"/>
      <c r="B25" s="339" t="s">
        <v>89</v>
      </c>
      <c r="C25" s="498">
        <v>0</v>
      </c>
      <c r="D25" s="498"/>
      <c r="E25" s="498"/>
      <c r="F25" s="498"/>
      <c r="G25" s="498"/>
      <c r="H25" s="499"/>
      <c r="I25" s="68"/>
      <c r="J25" s="324" t="s">
        <v>202</v>
      </c>
      <c r="K25" s="325">
        <f>$Q$45</f>
        <v>5523.7795555776538</v>
      </c>
      <c r="L25" s="177"/>
      <c r="M25" s="177"/>
      <c r="N25" s="177"/>
      <c r="O25" s="93"/>
      <c r="P25" s="56"/>
      <c r="Z25" s="173"/>
    </row>
    <row r="26" spans="1:26 16384:16384" ht="15" customHeight="1" thickBot="1">
      <c r="A26" s="56"/>
      <c r="B26" s="235"/>
      <c r="C26" s="82"/>
      <c r="D26" s="82"/>
      <c r="E26" s="82"/>
      <c r="F26" s="82"/>
      <c r="G26" s="82"/>
      <c r="H26" s="244"/>
      <c r="I26" s="68"/>
      <c r="J26" s="326" t="s">
        <v>205</v>
      </c>
      <c r="K26" s="325">
        <f>$Q$47</f>
        <v>6183.510360212269</v>
      </c>
      <c r="L26" s="196"/>
      <c r="M26" s="88">
        <f>$F$55</f>
        <v>5787.920192317456</v>
      </c>
      <c r="N26" s="93"/>
      <c r="O26" s="93"/>
      <c r="P26" s="56"/>
      <c r="Z26" s="173"/>
    </row>
    <row r="27" spans="1:26 16384:16384" ht="15" customHeight="1" thickBot="1">
      <c r="A27" s="56"/>
      <c r="B27" s="343" t="s">
        <v>90</v>
      </c>
      <c r="C27" s="500">
        <v>1</v>
      </c>
      <c r="D27" s="500"/>
      <c r="E27" s="500"/>
      <c r="F27" s="500"/>
      <c r="G27" s="500"/>
      <c r="H27" s="501"/>
      <c r="I27" s="68"/>
      <c r="J27" s="255" t="s">
        <v>142</v>
      </c>
      <c r="K27" s="261">
        <f>$F$58</f>
        <v>8463.9201923174551</v>
      </c>
      <c r="M27" s="128"/>
      <c r="O27" s="68"/>
      <c r="P27" s="56"/>
      <c r="Z27" s="173"/>
    </row>
    <row r="28" spans="1:26 16384:16384" ht="15" customHeight="1" thickBot="1">
      <c r="A28" s="230"/>
      <c r="B28" s="283"/>
      <c r="C28" s="130"/>
      <c r="D28" s="130"/>
      <c r="E28" s="130"/>
      <c r="F28" s="130"/>
      <c r="G28" s="130"/>
      <c r="H28" s="131"/>
      <c r="I28" s="68"/>
      <c r="J28" s="256" t="s">
        <v>145</v>
      </c>
      <c r="K28" s="262">
        <f>$F$55</f>
        <v>5787.920192317456</v>
      </c>
      <c r="L28" s="179">
        <f>$F$41</f>
        <v>3939.600961587279</v>
      </c>
      <c r="M28" s="128">
        <f>$F$41</f>
        <v>3939.600961587279</v>
      </c>
      <c r="N28" s="128"/>
      <c r="O28" s="68"/>
      <c r="P28" s="56"/>
      <c r="Z28" s="173"/>
    </row>
    <row r="29" spans="1:26 16384:16384" ht="15" customHeight="1" thickBot="1">
      <c r="A29" s="230"/>
      <c r="B29" s="344" t="s">
        <v>98</v>
      </c>
      <c r="C29" s="524">
        <v>60</v>
      </c>
      <c r="D29" s="500"/>
      <c r="E29" s="500"/>
      <c r="F29" s="500"/>
      <c r="G29" s="500"/>
      <c r="H29" s="501"/>
      <c r="I29" s="68"/>
      <c r="J29" s="327" t="s">
        <v>176</v>
      </c>
      <c r="K29" s="328">
        <f>Pricing!$B$32</f>
        <v>5000</v>
      </c>
      <c r="L29" s="178">
        <f>$F$58</f>
        <v>8463.9201923174551</v>
      </c>
      <c r="M29" s="128">
        <f>$F$58</f>
        <v>8463.9201923174551</v>
      </c>
      <c r="N29" s="128"/>
      <c r="O29" s="68"/>
      <c r="P29" s="56"/>
      <c r="Z29" s="173"/>
    </row>
    <row r="30" spans="1:26 16384:16384" ht="15.75" thickBot="1">
      <c r="C30" s="5"/>
      <c r="D30" s="5"/>
      <c r="E30" s="5"/>
      <c r="F30" s="257"/>
      <c r="G30" s="257"/>
      <c r="H30" s="257"/>
      <c r="I30" s="68"/>
      <c r="J30" s="327" t="s">
        <v>174</v>
      </c>
      <c r="K30" s="328">
        <f>Pricing!$B$33</f>
        <v>17500</v>
      </c>
      <c r="L30" s="84"/>
      <c r="M30" s="68"/>
      <c r="N30" s="68"/>
      <c r="O30" s="68"/>
      <c r="P30" s="56"/>
      <c r="Z30" s="173"/>
    </row>
    <row r="31" spans="1:26 16384:16384" s="430" customFormat="1" ht="15.75" thickBot="1">
      <c r="C31" s="5"/>
      <c r="D31" s="5"/>
      <c r="E31" s="5"/>
      <c r="F31" s="257"/>
      <c r="G31" s="257"/>
      <c r="H31" s="257"/>
      <c r="I31" s="68"/>
      <c r="J31" s="329" t="s">
        <v>175</v>
      </c>
      <c r="K31" s="433">
        <f>Pricing!$C$33</f>
        <v>22500</v>
      </c>
      <c r="L31" s="84"/>
      <c r="M31" s="68"/>
      <c r="N31" s="68"/>
      <c r="O31" s="68"/>
      <c r="P31" s="431"/>
      <c r="Q31" s="18"/>
      <c r="R31" s="18"/>
      <c r="S31" s="18"/>
      <c r="T31" s="18"/>
      <c r="U31" s="18"/>
      <c r="V31" s="18"/>
      <c r="W31" s="18"/>
      <c r="X31" s="18"/>
      <c r="Y31" s="18"/>
      <c r="Z31" s="173"/>
    </row>
    <row r="32" spans="1:26 16384:16384" s="430" customFormat="1" ht="15.75" thickBot="1">
      <c r="C32" s="5"/>
      <c r="D32" s="5"/>
      <c r="E32" s="5"/>
      <c r="F32" s="257"/>
      <c r="G32" s="257"/>
      <c r="H32" s="257"/>
      <c r="I32" s="68"/>
      <c r="J32" s="434" t="s">
        <v>171</v>
      </c>
      <c r="K32" s="435">
        <v>0</v>
      </c>
      <c r="L32" s="84"/>
      <c r="M32" s="68"/>
      <c r="N32" s="68"/>
      <c r="O32" s="68"/>
      <c r="P32" s="431"/>
      <c r="Q32" s="18"/>
      <c r="R32" s="18"/>
      <c r="S32" s="18"/>
      <c r="T32" s="18"/>
      <c r="U32" s="18"/>
      <c r="V32" s="18"/>
      <c r="W32" s="18"/>
      <c r="X32" s="18"/>
      <c r="Y32" s="18"/>
      <c r="Z32" s="173"/>
    </row>
    <row r="33" spans="1:26" ht="17.25" thickBot="1">
      <c r="B33" s="287"/>
      <c r="C33" s="444" t="s">
        <v>250</v>
      </c>
      <c r="D33" s="445"/>
      <c r="E33" s="445"/>
      <c r="F33" s="445"/>
      <c r="G33" s="445"/>
      <c r="H33" s="446"/>
      <c r="I33" s="68"/>
      <c r="J33" s="436" t="s">
        <v>251</v>
      </c>
      <c r="K33" s="440">
        <f>Pricing!$C$36</f>
        <v>0.2</v>
      </c>
      <c r="L33" s="84"/>
      <c r="M33" s="68"/>
      <c r="N33" s="68"/>
      <c r="O33" s="68"/>
      <c r="P33" s="224"/>
      <c r="Z33" s="173"/>
    </row>
    <row r="34" spans="1:26" ht="15.75" hidden="1" customHeight="1">
      <c r="B34" s="180" t="s">
        <v>26</v>
      </c>
      <c r="C34" s="264"/>
      <c r="D34" s="264"/>
      <c r="E34" s="264"/>
      <c r="F34" s="487">
        <f>C19*1.2</f>
        <v>30000</v>
      </c>
      <c r="G34" s="487"/>
      <c r="H34" s="508"/>
      <c r="L34" s="4"/>
      <c r="P34" s="56"/>
      <c r="Z34" s="173"/>
    </row>
    <row r="35" spans="1:26" ht="15" hidden="1" customHeight="1">
      <c r="B35" s="180" t="s">
        <v>27</v>
      </c>
      <c r="C35" s="181"/>
      <c r="D35" s="181"/>
      <c r="E35" s="181"/>
      <c r="F35" s="487">
        <f>C19</f>
        <v>25000</v>
      </c>
      <c r="G35" s="487"/>
      <c r="H35" s="508"/>
      <c r="I35" s="12"/>
      <c r="J35" s="4"/>
      <c r="K35" s="4"/>
      <c r="L35" s="4"/>
      <c r="P35" s="56"/>
      <c r="Z35" s="173"/>
    </row>
    <row r="36" spans="1:26" ht="15" hidden="1" customHeight="1">
      <c r="B36" s="180" t="s">
        <v>28</v>
      </c>
      <c r="C36" s="181" t="s">
        <v>17</v>
      </c>
      <c r="D36" s="182">
        <f>F36/F35</f>
        <v>0.1</v>
      </c>
      <c r="E36" s="181" t="s">
        <v>16</v>
      </c>
      <c r="F36" s="509">
        <f>C21*C19</f>
        <v>2500</v>
      </c>
      <c r="G36" s="509"/>
      <c r="H36" s="510"/>
      <c r="I36" s="12"/>
      <c r="J36" s="4"/>
      <c r="K36" s="4"/>
      <c r="P36" s="56"/>
      <c r="Z36" s="173"/>
    </row>
    <row r="37" spans="1:26" ht="15" hidden="1" customHeight="1">
      <c r="B37" s="183"/>
      <c r="C37" s="181"/>
      <c r="D37" s="181"/>
      <c r="E37" s="181"/>
      <c r="F37" s="184"/>
      <c r="G37" s="184"/>
      <c r="H37" s="185"/>
      <c r="I37" s="12"/>
      <c r="J37" s="4"/>
      <c r="K37" s="4"/>
      <c r="Z37" s="173"/>
    </row>
    <row r="38" spans="1:26" ht="15" hidden="1" customHeight="1">
      <c r="B38" s="183" t="s">
        <v>15</v>
      </c>
      <c r="C38" s="184"/>
      <c r="D38" s="184"/>
      <c r="E38" s="184"/>
      <c r="F38" s="494">
        <f>F34-F35</f>
        <v>5000</v>
      </c>
      <c r="G38" s="494"/>
      <c r="H38" s="495"/>
      <c r="I38" s="12"/>
      <c r="J38" s="4"/>
      <c r="K38" s="4"/>
      <c r="L38" s="3"/>
      <c r="M38" s="3"/>
      <c r="N38" s="3"/>
      <c r="Z38" s="173"/>
    </row>
    <row r="39" spans="1:26" ht="15" hidden="1" customHeight="1">
      <c r="B39" s="183" t="s">
        <v>29</v>
      </c>
      <c r="C39" s="186" t="s">
        <v>17</v>
      </c>
      <c r="D39" s="187">
        <f>((C21*F35)+F38)/F34</f>
        <v>0.25</v>
      </c>
      <c r="E39" s="184" t="s">
        <v>16</v>
      </c>
      <c r="F39" s="494">
        <f>F36+F38</f>
        <v>7500</v>
      </c>
      <c r="G39" s="494"/>
      <c r="H39" s="495"/>
      <c r="L39" s="5"/>
      <c r="M39" s="3"/>
      <c r="N39" s="3"/>
      <c r="Q39" s="218" t="s">
        <v>198</v>
      </c>
      <c r="Z39" s="173"/>
    </row>
    <row r="40" spans="1:26" ht="15" hidden="1" customHeight="1">
      <c r="B40" s="183" t="s">
        <v>30</v>
      </c>
      <c r="C40" s="184"/>
      <c r="D40" s="184"/>
      <c r="E40" s="184"/>
      <c r="F40" s="494">
        <f>F35-(C21*F35)</f>
        <v>22500</v>
      </c>
      <c r="G40" s="494"/>
      <c r="H40" s="495"/>
      <c r="L40" s="54"/>
      <c r="M40" s="479"/>
      <c r="N40" s="479"/>
      <c r="Q40" s="252">
        <f t="shared" ref="Q40" si="0">$F$40</f>
        <v>22500</v>
      </c>
      <c r="R40" s="251"/>
      <c r="S40" s="251"/>
      <c r="Z40" s="173"/>
    </row>
    <row r="41" spans="1:26" ht="15" hidden="1" customHeight="1">
      <c r="B41" s="183" t="s">
        <v>31</v>
      </c>
      <c r="C41" s="184"/>
      <c r="D41" s="184"/>
      <c r="E41" s="184"/>
      <c r="F41" s="494">
        <f>(F44*C23)-F40+C25</f>
        <v>3939.600961587279</v>
      </c>
      <c r="G41" s="494"/>
      <c r="H41" s="495"/>
      <c r="L41" s="59"/>
      <c r="M41" s="525"/>
      <c r="N41" s="525"/>
      <c r="P41" s="218" t="s">
        <v>195</v>
      </c>
      <c r="Q41" s="218" t="s">
        <v>194</v>
      </c>
      <c r="Z41" s="173"/>
    </row>
    <row r="42" spans="1:26" ht="15" hidden="1" customHeight="1">
      <c r="B42" s="183" t="s">
        <v>32</v>
      </c>
      <c r="C42" s="184"/>
      <c r="D42" s="184"/>
      <c r="E42" s="184"/>
      <c r="F42" s="494">
        <f>F44*C23</f>
        <v>26439.600961587279</v>
      </c>
      <c r="G42" s="494"/>
      <c r="H42" s="495"/>
      <c r="L42" s="75">
        <f>PMT(Kalkulator!K8/12, C23, -F40,C25)</f>
        <v>440.66001602645463</v>
      </c>
      <c r="M42" s="3" t="s">
        <v>101</v>
      </c>
      <c r="N42" s="3"/>
      <c r="P42" s="249">
        <f>PMT(Kalkulator!K8/12, C23, -F40,C25)</f>
        <v>440.66001602645463</v>
      </c>
      <c r="Q42" s="250">
        <f>P42*C23</f>
        <v>26439.600961587279</v>
      </c>
      <c r="Z42" s="173"/>
    </row>
    <row r="43" spans="1:26" ht="15" hidden="1" customHeight="1">
      <c r="B43" s="183"/>
      <c r="C43" s="184"/>
      <c r="D43" s="184"/>
      <c r="E43" s="184"/>
      <c r="F43" s="485"/>
      <c r="G43" s="485"/>
      <c r="H43" s="486"/>
      <c r="L43" s="76">
        <f>PMT(Kalkulator!K8/12, Kalkulator!C23,-(Kalkulator!C19-Kalkulator!F36))</f>
        <v>440.66001602645463</v>
      </c>
      <c r="P43" s="218" t="s">
        <v>196</v>
      </c>
      <c r="Q43" s="253">
        <f>Q42-Q40</f>
        <v>3939.600961587279</v>
      </c>
      <c r="R43" s="18" t="s">
        <v>199</v>
      </c>
      <c r="Z43" s="173"/>
    </row>
    <row r="44" spans="1:26" ht="15" hidden="1" customHeight="1">
      <c r="B44" s="180" t="s">
        <v>33</v>
      </c>
      <c r="C44" s="184"/>
      <c r="D44" s="184"/>
      <c r="E44" s="184"/>
      <c r="F44" s="509">
        <f>IF(Pricing!B5=1,IF(C27&gt;6,L44,L42),IF(Pricing!B5=2,L43,L45))</f>
        <v>440.66001602645463</v>
      </c>
      <c r="G44" s="509"/>
      <c r="H44" s="510"/>
      <c r="I44" s="11"/>
      <c r="L44" s="75">
        <f>PMT(Kalkulator!K8/12, C23, -(F40+F51),C25)</f>
        <v>554.01579401340791</v>
      </c>
      <c r="P44" s="250">
        <f>PMT(Kalkulator!K13/12, C23, -F40,C25)</f>
        <v>467.06299259296088</v>
      </c>
      <c r="Q44" s="250">
        <f>P44*C23</f>
        <v>28023.779555577654</v>
      </c>
      <c r="Z44" s="173"/>
    </row>
    <row r="45" spans="1:26" ht="15" hidden="1" customHeight="1">
      <c r="B45" s="183"/>
      <c r="C45" s="181"/>
      <c r="D45" s="181"/>
      <c r="E45" s="181"/>
      <c r="F45" s="485"/>
      <c r="G45" s="485"/>
      <c r="H45" s="486"/>
      <c r="L45" s="76">
        <f>PMT(Kalkulator!K8/12, C23, -F40,C25)</f>
        <v>440.66001602645463</v>
      </c>
      <c r="M45" s="1" t="s">
        <v>100</v>
      </c>
      <c r="P45" s="218" t="s">
        <v>197</v>
      </c>
      <c r="Q45" s="253">
        <f>Q44-Q40</f>
        <v>5523.7795555776538</v>
      </c>
      <c r="R45" s="18" t="s">
        <v>200</v>
      </c>
      <c r="Z45" s="173"/>
    </row>
    <row r="46" spans="1:26" ht="15" hidden="1" customHeight="1">
      <c r="A46" s="216" t="s">
        <v>159</v>
      </c>
      <c r="B46" s="183" t="s">
        <v>34</v>
      </c>
      <c r="C46" s="184"/>
      <c r="D46" s="184"/>
      <c r="E46" s="184"/>
      <c r="F46" s="485">
        <f>C23</f>
        <v>60</v>
      </c>
      <c r="G46" s="485"/>
      <c r="H46" s="486"/>
      <c r="P46" s="250">
        <f>PMT(Kalkulator!K14/12, C23, -F40,C25)</f>
        <v>478.05850600353779</v>
      </c>
      <c r="Q46" s="250">
        <f>P46*C23</f>
        <v>28683.510360212269</v>
      </c>
      <c r="Z46" s="173"/>
    </row>
    <row r="47" spans="1:26" ht="15" hidden="1" customHeight="1">
      <c r="A47" s="217" t="s">
        <v>160</v>
      </c>
      <c r="B47" s="183" t="s">
        <v>35</v>
      </c>
      <c r="C47" s="184"/>
      <c r="D47" s="184"/>
      <c r="E47" s="184"/>
      <c r="F47" s="511">
        <f>C25</f>
        <v>0</v>
      </c>
      <c r="G47" s="485"/>
      <c r="H47" s="486"/>
      <c r="Q47" s="253">
        <f>Q46-Q40</f>
        <v>6183.510360212269</v>
      </c>
      <c r="R47" s="18" t="s">
        <v>201</v>
      </c>
      <c r="Z47" s="173"/>
    </row>
    <row r="48" spans="1:26" ht="15" hidden="1" customHeight="1">
      <c r="A48" s="172" t="s">
        <v>158</v>
      </c>
      <c r="B48" s="183" t="s">
        <v>36</v>
      </c>
      <c r="C48" s="184"/>
      <c r="D48" s="184"/>
      <c r="E48" s="184"/>
      <c r="F48" s="494">
        <f>F40-F47</f>
        <v>22500</v>
      </c>
      <c r="G48" s="485"/>
      <c r="H48" s="486"/>
      <c r="Z48" s="173"/>
    </row>
    <row r="49" spans="1:26" ht="15" hidden="1" customHeight="1">
      <c r="A49" s="9" t="s">
        <v>19</v>
      </c>
      <c r="B49" s="183"/>
      <c r="C49" s="184"/>
      <c r="D49" s="184"/>
      <c r="E49" s="184"/>
      <c r="F49" s="485"/>
      <c r="G49" s="485"/>
      <c r="H49" s="486"/>
      <c r="Z49" s="173"/>
    </row>
    <row r="50" spans="1:26" ht="15" hidden="1" customHeight="1">
      <c r="B50" s="183" t="s">
        <v>37</v>
      </c>
      <c r="C50" s="184"/>
      <c r="D50" s="184"/>
      <c r="E50" s="184"/>
      <c r="F50" s="494">
        <f>F46*F44+C21*F35+C25</f>
        <v>28939.600961587279</v>
      </c>
      <c r="G50" s="485"/>
      <c r="H50" s="486"/>
      <c r="Z50" s="173"/>
    </row>
    <row r="51" spans="1:26" ht="15" hidden="1" customHeight="1">
      <c r="B51" s="183" t="s">
        <v>20</v>
      </c>
      <c r="C51" s="184"/>
      <c r="D51" s="184"/>
      <c r="E51" s="184"/>
      <c r="F51" s="517">
        <f>IF(Pricing!B5=2, F41*20%, F50*20%)</f>
        <v>5787.920192317456</v>
      </c>
      <c r="G51" s="517"/>
      <c r="H51" s="518"/>
      <c r="Z51" s="173"/>
    </row>
    <row r="52" spans="1:26" hidden="1">
      <c r="B52" s="183"/>
      <c r="C52" s="181"/>
      <c r="D52" s="181"/>
      <c r="E52" s="181"/>
      <c r="F52" s="485"/>
      <c r="G52" s="485"/>
      <c r="H52" s="486"/>
      <c r="L52" s="80">
        <f>(1+RATE(F46,F44,-F40+F57+F56+(F51-F38),C25))^12-1</f>
        <v>8.7156055676248734E-2</v>
      </c>
      <c r="M52" s="1" t="s">
        <v>86</v>
      </c>
      <c r="N52" s="1">
        <v>47</v>
      </c>
    </row>
    <row r="53" spans="1:26" ht="15.75" hidden="1" thickBot="1">
      <c r="B53" s="188" t="s">
        <v>18</v>
      </c>
      <c r="C53" s="189"/>
      <c r="D53" s="189"/>
      <c r="E53" s="189"/>
      <c r="F53" s="490"/>
      <c r="G53" s="490"/>
      <c r="H53" s="491"/>
      <c r="L53" s="80">
        <f>(1+RATE(F46,F44,-F40+F57+F56+F51,C25))^12-1</f>
        <v>0.22272082116395242</v>
      </c>
      <c r="M53" s="1" t="s">
        <v>87</v>
      </c>
      <c r="N53" s="1">
        <v>48</v>
      </c>
    </row>
    <row r="54" spans="1:26" ht="15.75" hidden="1" thickTop="1">
      <c r="B54" s="180" t="s">
        <v>40</v>
      </c>
      <c r="C54" s="181"/>
      <c r="D54" s="181"/>
      <c r="E54" s="181"/>
      <c r="F54" s="487">
        <f>F36</f>
        <v>2500</v>
      </c>
      <c r="G54" s="488"/>
      <c r="H54" s="489"/>
      <c r="L54" s="80">
        <f>(1+RATE(F46,F44,-F40-F51+F57+F56+(F51-F38),C25))^12-1</f>
        <v>-1.2794753772254697E-2</v>
      </c>
      <c r="M54" s="1" t="s">
        <v>93</v>
      </c>
    </row>
    <row r="55" spans="1:26" hidden="1">
      <c r="B55" s="180" t="s">
        <v>20</v>
      </c>
      <c r="C55" s="181"/>
      <c r="D55" s="181"/>
      <c r="E55" s="181"/>
      <c r="F55" s="487">
        <f>'PDV tabela'!F15</f>
        <v>5787.920192317456</v>
      </c>
      <c r="G55" s="487"/>
      <c r="H55" s="508"/>
      <c r="L55" s="80">
        <f>(1+RATE(F46,F44,-F40-F51+F57+F56+F51,C25))^12-1</f>
        <v>7.0890830744756883E-2</v>
      </c>
      <c r="M55" s="1" t="s">
        <v>92</v>
      </c>
    </row>
    <row r="56" spans="1:26" ht="15.75" hidden="1" thickBot="1">
      <c r="A56" s="21"/>
      <c r="B56" s="180" t="s">
        <v>39</v>
      </c>
      <c r="C56" s="181"/>
      <c r="D56" s="181"/>
      <c r="E56" s="181"/>
      <c r="F56" s="487">
        <f>IF(F42&lt;=6000,9,IF(F42&lt;=25000,26,IF(F42&lt;=50000,26,IF(F42&lt;=100000,26,IF(F42&lt;=200000,52.5,IF(F42&lt;=500000,52.5,IF(F42&lt;=1000000,52.5,IF(F42&gt;1000000,453.85))))))))</f>
        <v>26</v>
      </c>
      <c r="G56" s="487"/>
      <c r="H56" s="508"/>
    </row>
    <row r="57" spans="1:26" ht="15.75" hidden="1" thickBot="1">
      <c r="B57" s="188" t="s">
        <v>38</v>
      </c>
      <c r="C57" s="190"/>
      <c r="D57" s="190"/>
      <c r="E57" s="190"/>
      <c r="F57" s="512">
        <f>Kalkulator!K9*Kalkulator!F35*1.2</f>
        <v>150</v>
      </c>
      <c r="G57" s="512"/>
      <c r="H57" s="513"/>
      <c r="I57" s="60"/>
      <c r="J57" s="56"/>
      <c r="K57" s="56"/>
      <c r="L57" s="56"/>
      <c r="M57" s="56"/>
      <c r="N57" s="56"/>
    </row>
    <row r="58" spans="1:26" ht="15.75" hidden="1" thickTop="1">
      <c r="B58" s="180" t="s">
        <v>41</v>
      </c>
      <c r="C58" s="184"/>
      <c r="D58" s="184"/>
      <c r="E58" s="184"/>
      <c r="F58" s="487">
        <f>SUM(F54:F57)</f>
        <v>8463.9201923174551</v>
      </c>
      <c r="G58" s="487"/>
      <c r="H58" s="508"/>
      <c r="I58" s="8"/>
      <c r="J58" s="8"/>
      <c r="K58" s="8"/>
      <c r="L58" s="8"/>
      <c r="M58" s="8"/>
      <c r="N58" s="8"/>
    </row>
    <row r="59" spans="1:26" hidden="1">
      <c r="B59" s="180"/>
      <c r="C59" s="181"/>
      <c r="D59" s="181"/>
      <c r="E59" s="181"/>
      <c r="F59" s="191"/>
      <c r="G59" s="191"/>
      <c r="H59" s="192"/>
    </row>
    <row r="60" spans="1:26" hidden="1">
      <c r="B60" s="507" t="s">
        <v>42</v>
      </c>
      <c r="C60" s="181"/>
      <c r="D60" s="181"/>
      <c r="E60" s="181"/>
      <c r="F60" s="514">
        <f>Pricing!$C$8</f>
        <v>12.521739130434783</v>
      </c>
      <c r="G60" s="515"/>
      <c r="H60" s="516"/>
    </row>
    <row r="61" spans="1:26" hidden="1">
      <c r="B61" s="507"/>
      <c r="C61" s="193"/>
      <c r="D61" s="193"/>
      <c r="E61" s="193"/>
      <c r="F61" s="225"/>
      <c r="G61" s="225"/>
      <c r="H61" s="226"/>
    </row>
    <row r="62" spans="1:26" ht="15" hidden="1" customHeight="1">
      <c r="B62" s="183"/>
      <c r="C62" s="193"/>
      <c r="D62" s="193"/>
      <c r="E62" s="193"/>
      <c r="F62" s="485"/>
      <c r="G62" s="485"/>
      <c r="H62" s="486"/>
    </row>
    <row r="63" spans="1:26" ht="15" hidden="1" customHeight="1">
      <c r="B63" s="183" t="s">
        <v>21</v>
      </c>
      <c r="C63" s="184"/>
      <c r="D63" s="184"/>
      <c r="E63" s="184"/>
      <c r="F63" s="484">
        <f>Kalkulator!K8</f>
        <v>6.54E-2</v>
      </c>
      <c r="G63" s="485"/>
      <c r="H63" s="486"/>
    </row>
    <row r="64" spans="1:26" ht="15" hidden="1" customHeight="1" thickBot="1">
      <c r="B64" s="194" t="s">
        <v>22</v>
      </c>
      <c r="C64" s="195"/>
      <c r="D64" s="195"/>
      <c r="E64" s="195"/>
      <c r="F64" s="482">
        <f>IF(Pricing!B5=2,IF(C27&gt;6,L55, L53), IF(C27&gt;6,L54,L52))</f>
        <v>8.7156055676248734E-2</v>
      </c>
      <c r="G64" s="482"/>
      <c r="H64" s="483"/>
    </row>
    <row r="65" spans="1:12" ht="15" hidden="1" customHeight="1" thickTop="1">
      <c r="F65" s="22"/>
      <c r="G65" s="22"/>
      <c r="H65" s="22"/>
    </row>
    <row r="66" spans="1:12" ht="15" hidden="1" customHeight="1">
      <c r="A66" s="61" t="s">
        <v>177</v>
      </c>
      <c r="B66" s="56"/>
      <c r="C66" s="56"/>
      <c r="D66" s="56"/>
      <c r="E66" s="56"/>
      <c r="F66" s="56"/>
      <c r="G66" s="56"/>
      <c r="H66" s="56"/>
    </row>
    <row r="67" spans="1:12" hidden="1">
      <c r="B67" s="8"/>
      <c r="C67" s="8"/>
      <c r="D67" s="8"/>
      <c r="E67" s="8"/>
      <c r="F67" s="8"/>
      <c r="G67" s="8"/>
      <c r="H67" s="8"/>
    </row>
    <row r="68" spans="1:12" hidden="1"/>
    <row r="69" spans="1:12" hidden="1"/>
    <row r="70" spans="1:12" ht="13.5" hidden="1" customHeight="1"/>
    <row r="71" spans="1:12" hidden="1"/>
    <row r="72" spans="1:12" hidden="1"/>
    <row r="73" spans="1:12" ht="409.5" hidden="1">
      <c r="B73" s="174" t="s">
        <v>178</v>
      </c>
      <c r="L73" s="174" t="s">
        <v>179</v>
      </c>
    </row>
    <row r="74" spans="1:12" hidden="1"/>
    <row r="75" spans="1:12" ht="15" hidden="1" customHeight="1"/>
    <row r="76" spans="1:12" ht="14.25" hidden="1" customHeight="1">
      <c r="L76" s="175"/>
    </row>
    <row r="77" spans="1:12" hidden="1"/>
    <row r="78" spans="1:12" hidden="1"/>
    <row r="79" spans="1:12" hidden="1"/>
    <row r="80" spans="1:12" ht="12" hidden="1" customHeight="1"/>
    <row r="81" spans="3:12" ht="12" hidden="1" customHeight="1"/>
    <row r="82" spans="3:12" ht="12" hidden="1" customHeight="1"/>
    <row r="83" spans="3:12" ht="12" hidden="1" customHeight="1"/>
    <row r="84" spans="3:12" ht="12" hidden="1" customHeight="1">
      <c r="L84" s="13"/>
    </row>
    <row r="85" spans="3:12" ht="12" hidden="1" customHeight="1"/>
    <row r="86" spans="3:12" ht="12" hidden="1" customHeight="1"/>
    <row r="87" spans="3:12" ht="12" hidden="1" customHeight="1"/>
    <row r="88" spans="3:12" ht="12" hidden="1" customHeight="1"/>
    <row r="89" spans="3:12" ht="12" hidden="1" customHeight="1"/>
    <row r="90" spans="3:12" ht="12" hidden="1" customHeight="1"/>
    <row r="91" spans="3:12" ht="12" hidden="1" customHeight="1" thickBot="1"/>
    <row r="92" spans="3:12" ht="15.75" customHeight="1" thickBot="1">
      <c r="C92" s="480" t="s">
        <v>224</v>
      </c>
      <c r="D92" s="492"/>
      <c r="E92" s="492"/>
      <c r="F92" s="492"/>
      <c r="G92" s="492"/>
      <c r="H92" s="493"/>
      <c r="J92" s="480" t="s">
        <v>219</v>
      </c>
      <c r="K92" s="481"/>
    </row>
    <row r="93" spans="3:12" ht="15.75" customHeight="1" thickBot="1">
      <c r="C93" s="466" t="s">
        <v>221</v>
      </c>
      <c r="D93" s="467"/>
      <c r="E93" s="468"/>
      <c r="F93" s="469" t="s">
        <v>218</v>
      </c>
      <c r="G93" s="469"/>
      <c r="H93" s="470"/>
      <c r="J93" s="330" t="s">
        <v>213</v>
      </c>
      <c r="K93" s="337">
        <v>41334</v>
      </c>
    </row>
    <row r="94" spans="3:12" ht="16.5" customHeight="1" thickBot="1">
      <c r="C94" s="447" t="s">
        <v>225</v>
      </c>
      <c r="D94" s="448"/>
      <c r="E94" s="448"/>
      <c r="F94" s="471">
        <f>IF(Pricing!B7=1,C23/3,C23/6)</f>
        <v>10</v>
      </c>
      <c r="G94" s="472"/>
      <c r="H94" s="473"/>
      <c r="J94" s="330" t="s">
        <v>214</v>
      </c>
      <c r="K94" s="337">
        <v>41426</v>
      </c>
    </row>
    <row r="95" spans="3:12" ht="16.5" customHeight="1" thickBot="1">
      <c r="C95" s="477" t="s">
        <v>222</v>
      </c>
      <c r="D95" s="477"/>
      <c r="E95" s="477"/>
      <c r="F95" s="478">
        <f>IF(Pricing!B7=1,PMT(K8*100/400,F94,-F48,0,0),PMT(K8*200/400,F94,-F48,0,0))</f>
        <v>2674.1596194747062</v>
      </c>
      <c r="G95" s="478"/>
      <c r="H95" s="478"/>
      <c r="J95" s="330" t="s">
        <v>215</v>
      </c>
      <c r="K95" s="338">
        <v>50000</v>
      </c>
    </row>
    <row r="96" spans="3:12" ht="17.25" customHeight="1" thickBot="1">
      <c r="C96" s="457" t="s">
        <v>143</v>
      </c>
      <c r="D96" s="458"/>
      <c r="E96" s="459"/>
      <c r="F96" s="460">
        <f>F95*F94-F48</f>
        <v>4241.5961947470641</v>
      </c>
      <c r="G96" s="461"/>
      <c r="H96" s="462"/>
      <c r="J96" s="330" t="s">
        <v>13</v>
      </c>
      <c r="K96" s="338">
        <v>8</v>
      </c>
    </row>
    <row r="97" spans="3:11" ht="17.25" thickBot="1">
      <c r="C97" s="447" t="s">
        <v>226</v>
      </c>
      <c r="D97" s="448"/>
      <c r="E97" s="448"/>
      <c r="F97" s="474">
        <f>F96/(C23/12)</f>
        <v>848.31923894941281</v>
      </c>
      <c r="G97" s="475"/>
      <c r="H97" s="476"/>
      <c r="J97" s="331" t="s">
        <v>216</v>
      </c>
      <c r="K97" s="335">
        <f>+K94-K93</f>
        <v>92</v>
      </c>
    </row>
    <row r="98" spans="3:11" ht="16.5" customHeight="1" thickBot="1">
      <c r="C98" s="447" t="s">
        <v>142</v>
      </c>
      <c r="D98" s="448"/>
      <c r="E98" s="448"/>
      <c r="F98" s="463">
        <f>PONUDA3Mili6M!$H$37</f>
        <v>2676</v>
      </c>
      <c r="G98" s="464"/>
      <c r="H98" s="465"/>
      <c r="J98" s="332"/>
      <c r="K98" s="335">
        <v>36000</v>
      </c>
    </row>
    <row r="99" spans="3:11" ht="17.25" customHeight="1" thickBot="1">
      <c r="C99" s="447" t="s">
        <v>236</v>
      </c>
      <c r="D99" s="448"/>
      <c r="E99" s="448"/>
      <c r="F99" s="449">
        <f>PONUDA3Mili6M!$H$29</f>
        <v>5848.3192389494134</v>
      </c>
      <c r="G99" s="450"/>
      <c r="H99" s="451"/>
      <c r="J99" s="333" t="s">
        <v>210</v>
      </c>
      <c r="K99" s="336">
        <f>+K95*K96*K97/K98</f>
        <v>1022.2222222222222</v>
      </c>
    </row>
    <row r="100" spans="3:11" ht="17.25" customHeight="1" thickBot="1">
      <c r="C100" s="447" t="s">
        <v>237</v>
      </c>
      <c r="D100" s="448"/>
      <c r="E100" s="448"/>
      <c r="F100" s="452">
        <f>PONUDA3Mili6M!$H$42</f>
        <v>5924.8152545948715</v>
      </c>
      <c r="G100" s="453"/>
      <c r="H100" s="454"/>
      <c r="J100" s="333" t="s">
        <v>211</v>
      </c>
      <c r="K100" s="336">
        <f>+K99*0.2</f>
        <v>204.44444444444446</v>
      </c>
    </row>
    <row r="101" spans="3:11" ht="16.5" customHeight="1" thickBot="1">
      <c r="C101" s="455"/>
      <c r="D101" s="455"/>
      <c r="E101" s="455"/>
      <c r="F101" s="456"/>
      <c r="G101" s="455"/>
      <c r="H101" s="455"/>
      <c r="J101" s="334" t="s">
        <v>212</v>
      </c>
      <c r="K101" s="336">
        <f>SUM(K99:K100)</f>
        <v>1226.6666666666665</v>
      </c>
    </row>
    <row r="102" spans="3:11" ht="12" customHeight="1">
      <c r="J102"/>
      <c r="K102"/>
    </row>
    <row r="103" spans="3:11" ht="12" customHeight="1"/>
    <row r="104" spans="3:11" ht="12" customHeight="1">
      <c r="C104" s="443"/>
      <c r="D104" s="443"/>
      <c r="E104" s="443"/>
    </row>
    <row r="105" spans="3:11" ht="12" customHeight="1"/>
    <row r="106" spans="3:11" ht="12" customHeight="1"/>
    <row r="107" spans="3:11" ht="12" customHeight="1"/>
    <row r="108" spans="3:11" ht="12" customHeight="1"/>
    <row r="109" spans="3:11" ht="12" customHeight="1"/>
    <row r="110" spans="3:11" ht="12" customHeight="1"/>
    <row r="111" spans="3:11" ht="12" customHeight="1"/>
    <row r="112" spans="3:11" ht="12" customHeight="1"/>
    <row r="113" ht="12" customHeight="1"/>
    <row r="114" ht="12" customHeight="1"/>
    <row r="115" ht="12" customHeight="1"/>
    <row r="116" ht="12" customHeight="1"/>
    <row r="117" ht="12" customHeight="1"/>
    <row r="118" ht="12" customHeight="1"/>
    <row r="119" ht="12" customHeight="1"/>
    <row r="120" ht="12" customHeight="1"/>
    <row r="121"/>
    <row r="122"/>
    <row r="123"/>
    <row r="124"/>
    <row r="125"/>
  </sheetData>
  <sheetProtection password="D200" sheet="1" objects="1" scenarios="1" selectLockedCells="1"/>
  <dataConsolidate/>
  <mergeCells count="67">
    <mergeCell ref="B4:N4"/>
    <mergeCell ref="F41:H41"/>
    <mergeCell ref="F42:H42"/>
    <mergeCell ref="F36:H36"/>
    <mergeCell ref="F40:H40"/>
    <mergeCell ref="C21:H21"/>
    <mergeCell ref="C23:H23"/>
    <mergeCell ref="C17:H17"/>
    <mergeCell ref="M41:N41"/>
    <mergeCell ref="C9:H9"/>
    <mergeCell ref="C29:H29"/>
    <mergeCell ref="F34:H34"/>
    <mergeCell ref="F35:H35"/>
    <mergeCell ref="F5:J5"/>
    <mergeCell ref="J16:L21"/>
    <mergeCell ref="C7:H7"/>
    <mergeCell ref="B60:B61"/>
    <mergeCell ref="F55:H55"/>
    <mergeCell ref="F43:H43"/>
    <mergeCell ref="F50:H50"/>
    <mergeCell ref="F52:H52"/>
    <mergeCell ref="F44:H44"/>
    <mergeCell ref="F46:H46"/>
    <mergeCell ref="F45:H45"/>
    <mergeCell ref="F48:H48"/>
    <mergeCell ref="F47:H47"/>
    <mergeCell ref="F57:H57"/>
    <mergeCell ref="F60:H60"/>
    <mergeCell ref="F58:H58"/>
    <mergeCell ref="F49:H49"/>
    <mergeCell ref="F51:H51"/>
    <mergeCell ref="F56:H56"/>
    <mergeCell ref="F38:H38"/>
    <mergeCell ref="F39:H39"/>
    <mergeCell ref="C11:H11"/>
    <mergeCell ref="C25:H25"/>
    <mergeCell ref="C27:H27"/>
    <mergeCell ref="C19:H19"/>
    <mergeCell ref="C15:H15"/>
    <mergeCell ref="C97:E97"/>
    <mergeCell ref="F97:H97"/>
    <mergeCell ref="C95:E95"/>
    <mergeCell ref="F95:H95"/>
    <mergeCell ref="M40:N40"/>
    <mergeCell ref="J92:K92"/>
    <mergeCell ref="F64:H64"/>
    <mergeCell ref="F63:H63"/>
    <mergeCell ref="F54:H54"/>
    <mergeCell ref="F62:H62"/>
    <mergeCell ref="F53:H53"/>
    <mergeCell ref="C92:H92"/>
    <mergeCell ref="C104:E104"/>
    <mergeCell ref="C33:H33"/>
    <mergeCell ref="C99:E99"/>
    <mergeCell ref="F99:H99"/>
    <mergeCell ref="C100:E100"/>
    <mergeCell ref="F100:H100"/>
    <mergeCell ref="C101:E101"/>
    <mergeCell ref="F101:H101"/>
    <mergeCell ref="C96:E96"/>
    <mergeCell ref="F96:H96"/>
    <mergeCell ref="C98:E98"/>
    <mergeCell ref="F98:H98"/>
    <mergeCell ref="C93:E93"/>
    <mergeCell ref="F93:H93"/>
    <mergeCell ref="C94:E94"/>
    <mergeCell ref="F94:H94"/>
  </mergeCells>
  <phoneticPr fontId="0" type="noConversion"/>
  <dataValidations count="3">
    <dataValidation type="list" allowBlank="1" showInputMessage="1" showErrorMessage="1" sqref="C28">
      <formula1>"1, 2, 3, 4, 5, 6, kroz lizing rate"</formula1>
    </dataValidation>
    <dataValidation type="list" allowBlank="1" showInputMessage="1" showErrorMessage="1" sqref="C27:H27">
      <formula1>"1, 2, 3, 4, 5, 6"</formula1>
    </dataValidation>
    <dataValidation type="list" allowBlank="1" showInputMessage="1" showErrorMessage="1" sqref="F5:J5">
      <formula1>Pricing!$G$2:$G$3</formula1>
    </dataValidation>
  </dataValidations>
  <printOptions horizontalCentered="1"/>
  <pageMargins left="0" right="0" top="0.39370078740157483" bottom="0" header="0" footer="0"/>
  <pageSetup scale="80"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sheetPr codeName="Sheet6"/>
  <dimension ref="A1:K47"/>
  <sheetViews>
    <sheetView workbookViewId="0">
      <selection activeCell="A7" sqref="A7:B8"/>
    </sheetView>
  </sheetViews>
  <sheetFormatPr defaultRowHeight="15"/>
  <cols>
    <col min="1" max="1" width="19.33203125" style="1" bestFit="1" customWidth="1"/>
    <col min="2" max="3" width="20.88671875" style="1" customWidth="1"/>
    <col min="4" max="4" width="17.109375" style="1" bestFit="1" customWidth="1"/>
    <col min="5" max="6" width="20.88671875" style="1" customWidth="1"/>
    <col min="7" max="7" width="20" style="1" bestFit="1" customWidth="1"/>
    <col min="8" max="8" width="19.88671875" style="1" customWidth="1"/>
    <col min="9" max="9" width="19.33203125" style="1" bestFit="1" customWidth="1"/>
    <col min="10" max="10" width="14.88671875" style="55" customWidth="1"/>
    <col min="11" max="11" width="17.109375" bestFit="1" customWidth="1"/>
  </cols>
  <sheetData>
    <row r="1" spans="1:11">
      <c r="A1" s="398"/>
      <c r="B1" s="398"/>
      <c r="C1" s="68" t="s">
        <v>131</v>
      </c>
      <c r="D1" s="68"/>
      <c r="E1" s="68"/>
      <c r="F1" s="68"/>
      <c r="G1" s="68"/>
      <c r="H1" s="68"/>
      <c r="I1" s="68"/>
    </row>
    <row r="2" spans="1:11">
      <c r="A2" s="398"/>
      <c r="B2" s="398"/>
      <c r="C2" s="398" t="s">
        <v>132</v>
      </c>
      <c r="D2" s="68" t="s">
        <v>103</v>
      </c>
      <c r="E2" s="68" t="s">
        <v>82</v>
      </c>
      <c r="F2" s="68"/>
      <c r="G2" s="68">
        <v>1</v>
      </c>
      <c r="H2" s="68"/>
      <c r="I2" s="68"/>
    </row>
    <row r="3" spans="1:11">
      <c r="A3" s="68" t="s">
        <v>73</v>
      </c>
      <c r="B3" s="401">
        <v>1</v>
      </c>
      <c r="C3" s="398" t="s">
        <v>127</v>
      </c>
      <c r="D3" s="68" t="s">
        <v>104</v>
      </c>
      <c r="E3" s="68" t="s">
        <v>99</v>
      </c>
      <c r="F3" s="68"/>
      <c r="G3" s="68">
        <v>2</v>
      </c>
      <c r="H3" s="68"/>
      <c r="I3" s="68"/>
    </row>
    <row r="4" spans="1:11">
      <c r="A4" s="68" t="s">
        <v>74</v>
      </c>
      <c r="B4" s="401">
        <v>1</v>
      </c>
      <c r="C4" s="398"/>
      <c r="D4" s="68"/>
      <c r="E4" s="68" t="s">
        <v>105</v>
      </c>
      <c r="F4" s="68"/>
      <c r="G4" s="68"/>
      <c r="H4" s="68"/>
      <c r="I4" s="68"/>
    </row>
    <row r="5" spans="1:11">
      <c r="A5" s="398" t="s">
        <v>72</v>
      </c>
      <c r="B5" s="90">
        <v>1</v>
      </c>
      <c r="C5" s="398" t="s">
        <v>127</v>
      </c>
      <c r="D5" s="68"/>
      <c r="E5" s="68" t="s">
        <v>133</v>
      </c>
      <c r="F5" s="68"/>
      <c r="G5" s="68"/>
      <c r="H5" s="68"/>
      <c r="I5" s="68"/>
    </row>
    <row r="6" spans="1:11">
      <c r="A6" s="68"/>
      <c r="B6" s="68"/>
      <c r="C6" s="398" t="s">
        <v>128</v>
      </c>
      <c r="D6" s="68"/>
      <c r="E6" s="402" t="s">
        <v>189</v>
      </c>
      <c r="F6" s="402" t="s">
        <v>190</v>
      </c>
      <c r="G6" s="68"/>
      <c r="H6" s="68"/>
      <c r="I6" s="68"/>
    </row>
    <row r="7" spans="1:11">
      <c r="A7" s="441" t="s">
        <v>220</v>
      </c>
      <c r="B7" s="441">
        <v>2</v>
      </c>
      <c r="C7" s="403">
        <v>1</v>
      </c>
      <c r="D7" s="441" t="s">
        <v>184</v>
      </c>
      <c r="E7" s="404">
        <v>1440</v>
      </c>
      <c r="F7" s="404">
        <f>E7/115</f>
        <v>12.521739130434783</v>
      </c>
      <c r="G7" s="68"/>
      <c r="H7" s="68"/>
      <c r="I7" s="68"/>
    </row>
    <row r="8" spans="1:11">
      <c r="A8" s="441" t="s">
        <v>217</v>
      </c>
      <c r="B8" s="441">
        <v>2</v>
      </c>
      <c r="C8" s="405">
        <f>IF(C7=1,F7,IF(C7=2,F8,IF(C7=3,F9,IF(C7=4,F10,IF(C7=5,F11)))))</f>
        <v>12.521739130434783</v>
      </c>
      <c r="D8" s="441" t="s">
        <v>185</v>
      </c>
      <c r="E8" s="404">
        <v>600</v>
      </c>
      <c r="F8" s="404">
        <f t="shared" ref="F8:F11" si="0">E8/115</f>
        <v>5.2173913043478262</v>
      </c>
      <c r="G8" s="68"/>
      <c r="H8" s="68"/>
      <c r="I8" s="68"/>
    </row>
    <row r="9" spans="1:11">
      <c r="A9" s="68"/>
      <c r="B9" s="68"/>
      <c r="C9" s="432"/>
      <c r="D9" s="441" t="s">
        <v>186</v>
      </c>
      <c r="E9" s="404">
        <v>246</v>
      </c>
      <c r="F9" s="404">
        <f t="shared" si="0"/>
        <v>2.1391304347826088</v>
      </c>
      <c r="G9" s="68"/>
      <c r="H9" s="68"/>
      <c r="I9" s="68"/>
    </row>
    <row r="10" spans="1:11">
      <c r="A10" s="68"/>
      <c r="B10" s="68"/>
      <c r="C10" s="68"/>
      <c r="D10" s="441" t="s">
        <v>187</v>
      </c>
      <c r="E10" s="404">
        <v>600</v>
      </c>
      <c r="F10" s="404">
        <f t="shared" si="0"/>
        <v>5.2173913043478262</v>
      </c>
      <c r="G10" s="68"/>
      <c r="H10" s="68"/>
      <c r="I10" s="68"/>
    </row>
    <row r="11" spans="1:11">
      <c r="A11" s="406" t="s">
        <v>69</v>
      </c>
      <c r="B11" s="68"/>
      <c r="C11" s="68"/>
      <c r="D11" s="442" t="s">
        <v>188</v>
      </c>
      <c r="E11" s="404">
        <v>500</v>
      </c>
      <c r="F11" s="404">
        <f t="shared" si="0"/>
        <v>4.3478260869565215</v>
      </c>
      <c r="G11" s="406" t="s">
        <v>69</v>
      </c>
      <c r="H11" s="68"/>
      <c r="I11" s="68"/>
      <c r="J11" s="1"/>
      <c r="K11" s="1"/>
    </row>
    <row r="12" spans="1:11">
      <c r="A12" s="68"/>
      <c r="B12" s="407" t="s">
        <v>103</v>
      </c>
      <c r="C12" s="407" t="s">
        <v>104</v>
      </c>
      <c r="D12" s="68"/>
      <c r="E12" s="398"/>
      <c r="F12" s="68"/>
      <c r="G12" s="68"/>
      <c r="H12" s="407" t="s">
        <v>67</v>
      </c>
      <c r="I12" s="407" t="s">
        <v>70</v>
      </c>
      <c r="J12" s="57" t="s">
        <v>77</v>
      </c>
      <c r="K12" s="57" t="s">
        <v>79</v>
      </c>
    </row>
    <row r="13" spans="1:11">
      <c r="A13" s="408" t="s">
        <v>68</v>
      </c>
      <c r="B13" s="409">
        <v>8.8999999999999996E-2</v>
      </c>
      <c r="C13" s="409">
        <v>7.1999999999999995E-2</v>
      </c>
      <c r="D13" s="397"/>
      <c r="E13" s="397"/>
      <c r="F13" s="68"/>
      <c r="G13" s="408" t="s">
        <v>68</v>
      </c>
      <c r="H13" s="409">
        <v>1.2500000000000001E-2</v>
      </c>
      <c r="I13" s="409">
        <v>1.2500000000000001E-2</v>
      </c>
      <c r="J13" s="58">
        <v>1.2500000000000001E-2</v>
      </c>
      <c r="K13" s="58">
        <v>1.2500000000000001E-2</v>
      </c>
    </row>
    <row r="14" spans="1:11">
      <c r="A14" s="408" t="s">
        <v>66</v>
      </c>
      <c r="B14" s="409">
        <v>8.8999999999999996E-2</v>
      </c>
      <c r="C14" s="409">
        <v>7.1999999999999995E-2</v>
      </c>
      <c r="D14" s="397"/>
      <c r="E14" s="397"/>
      <c r="F14" s="68"/>
      <c r="G14" s="408" t="s">
        <v>66</v>
      </c>
      <c r="H14" s="409">
        <v>1.2500000000000001E-2</v>
      </c>
      <c r="I14" s="409">
        <v>1.2500000000000001E-2</v>
      </c>
      <c r="J14" s="58">
        <v>1.2500000000000001E-2</v>
      </c>
      <c r="K14" s="58">
        <v>1.2500000000000001E-2</v>
      </c>
    </row>
    <row r="15" spans="1:11">
      <c r="A15" s="68"/>
      <c r="B15" s="68"/>
      <c r="C15" s="68"/>
      <c r="D15" s="68"/>
      <c r="E15" s="68"/>
      <c r="F15" s="68"/>
      <c r="G15" s="68"/>
      <c r="H15" s="68"/>
      <c r="I15" s="68"/>
      <c r="J15" s="1"/>
      <c r="K15" s="1"/>
    </row>
    <row r="16" spans="1:11">
      <c r="A16" s="68"/>
      <c r="B16" s="68"/>
      <c r="C16" s="68"/>
      <c r="D16" s="68"/>
      <c r="E16" s="68"/>
      <c r="F16" s="68"/>
      <c r="G16" s="68"/>
      <c r="H16" s="68"/>
      <c r="I16" s="68"/>
      <c r="J16" s="1"/>
      <c r="K16" s="1"/>
    </row>
    <row r="17" spans="1:11">
      <c r="A17" s="406" t="s">
        <v>71</v>
      </c>
      <c r="B17" s="68"/>
      <c r="C17" s="68"/>
      <c r="D17" s="398"/>
      <c r="E17" s="398"/>
      <c r="F17" s="68"/>
      <c r="G17" s="406" t="s">
        <v>71</v>
      </c>
      <c r="H17" s="68"/>
      <c r="I17" s="68"/>
      <c r="J17" s="1"/>
      <c r="K17" s="1"/>
    </row>
    <row r="18" spans="1:11">
      <c r="A18" s="68"/>
      <c r="B18" s="407" t="s">
        <v>75</v>
      </c>
      <c r="C18" s="407" t="s">
        <v>76</v>
      </c>
      <c r="D18" s="398"/>
      <c r="E18" s="398"/>
      <c r="F18" s="68"/>
      <c r="G18" s="68"/>
      <c r="H18" s="407" t="s">
        <v>75</v>
      </c>
      <c r="I18" s="407" t="s">
        <v>76</v>
      </c>
      <c r="J18" s="57" t="s">
        <v>77</v>
      </c>
      <c r="K18" s="57" t="s">
        <v>78</v>
      </c>
    </row>
    <row r="19" spans="1:11">
      <c r="A19" s="407" t="s">
        <v>68</v>
      </c>
      <c r="B19" s="409">
        <v>0.12</v>
      </c>
      <c r="C19" s="409">
        <v>0.11</v>
      </c>
      <c r="D19" s="397"/>
      <c r="E19" s="397"/>
      <c r="F19" s="68"/>
      <c r="G19" s="407" t="s">
        <v>68</v>
      </c>
      <c r="H19" s="409">
        <v>0.02</v>
      </c>
      <c r="I19" s="409">
        <v>0.02</v>
      </c>
      <c r="J19" s="58">
        <v>0.02</v>
      </c>
      <c r="K19" s="58">
        <v>0.02</v>
      </c>
    </row>
    <row r="20" spans="1:11">
      <c r="A20" s="407" t="s">
        <v>66</v>
      </c>
      <c r="B20" s="409">
        <v>0.12</v>
      </c>
      <c r="C20" s="409">
        <v>0.11</v>
      </c>
      <c r="D20" s="397"/>
      <c r="E20" s="397"/>
      <c r="F20" s="68"/>
      <c r="G20" s="407" t="s">
        <v>66</v>
      </c>
      <c r="H20" s="409">
        <v>0.02</v>
      </c>
      <c r="I20" s="409">
        <v>0.02</v>
      </c>
      <c r="J20" s="58">
        <v>0.02</v>
      </c>
      <c r="K20" s="58">
        <v>0.02</v>
      </c>
    </row>
    <row r="21" spans="1:11">
      <c r="A21" s="68"/>
      <c r="B21" s="68"/>
      <c r="C21" s="68"/>
      <c r="D21" s="398"/>
      <c r="E21" s="398"/>
      <c r="F21" s="68"/>
      <c r="G21" s="68"/>
      <c r="H21" s="68"/>
      <c r="I21" s="68"/>
    </row>
    <row r="22" spans="1:11">
      <c r="A22" s="68"/>
      <c r="B22" s="68"/>
      <c r="C22" s="68"/>
      <c r="D22" s="68"/>
      <c r="E22" s="68"/>
      <c r="F22" s="68"/>
      <c r="G22" s="68"/>
      <c r="H22" s="68"/>
      <c r="I22" s="68"/>
    </row>
    <row r="23" spans="1:11">
      <c r="A23" s="68"/>
      <c r="B23" s="68"/>
      <c r="C23" s="68"/>
      <c r="D23" s="68"/>
      <c r="E23" s="68"/>
      <c r="F23" s="68"/>
      <c r="G23" s="68"/>
      <c r="H23" s="68"/>
      <c r="I23" s="68"/>
    </row>
    <row r="24" spans="1:11">
      <c r="A24" s="410" t="s">
        <v>161</v>
      </c>
      <c r="B24" s="411"/>
      <c r="C24" s="411"/>
      <c r="D24" s="68"/>
      <c r="E24" s="68"/>
      <c r="F24" s="68"/>
      <c r="G24" s="68"/>
      <c r="H24" s="68"/>
      <c r="I24" s="68"/>
    </row>
    <row r="25" spans="1:11">
      <c r="A25" s="411"/>
      <c r="B25" s="411"/>
      <c r="C25" s="411"/>
      <c r="D25" s="68"/>
      <c r="E25" s="68"/>
      <c r="F25" s="68"/>
      <c r="G25" s="68"/>
      <c r="H25" s="68"/>
      <c r="I25" s="68"/>
    </row>
    <row r="26" spans="1:11" ht="15.75" thickBot="1">
      <c r="A26" s="411"/>
      <c r="B26" s="411"/>
      <c r="C26" s="411"/>
      <c r="D26" s="68"/>
      <c r="E26" s="68"/>
      <c r="F26" s="68"/>
      <c r="G26" s="68"/>
      <c r="H26" s="68"/>
      <c r="I26" s="68"/>
    </row>
    <row r="27" spans="1:11" ht="15.75" thickBot="1">
      <c r="A27" s="412" t="s">
        <v>162</v>
      </c>
      <c r="B27" s="413">
        <f>Ponuda1M!$H$12</f>
        <v>25000</v>
      </c>
      <c r="C27" s="414">
        <f>Ponuda1M!$H$12</f>
        <v>25000</v>
      </c>
      <c r="D27" s="68">
        <f>Ponuda1M!$H$12</f>
        <v>25000</v>
      </c>
      <c r="E27" s="68"/>
      <c r="F27" s="68"/>
      <c r="G27" s="68"/>
      <c r="H27" s="68"/>
      <c r="I27" s="68"/>
    </row>
    <row r="28" spans="1:11" ht="15.75" thickBot="1">
      <c r="A28" s="412" t="s">
        <v>163</v>
      </c>
      <c r="B28" s="415">
        <f>B27*1.2</f>
        <v>30000</v>
      </c>
      <c r="C28" s="416">
        <f>B28-B27</f>
        <v>5000</v>
      </c>
      <c r="D28" s="68"/>
      <c r="E28" s="68"/>
      <c r="F28" s="68"/>
      <c r="G28" s="68"/>
      <c r="H28" s="68"/>
      <c r="I28" s="68"/>
    </row>
    <row r="29" spans="1:11">
      <c r="A29" s="412" t="s">
        <v>164</v>
      </c>
      <c r="B29" s="417">
        <f>Ponuda1M!$F$15</f>
        <v>0.1</v>
      </c>
      <c r="C29" s="411"/>
      <c r="D29" s="68"/>
      <c r="E29" s="68"/>
      <c r="F29" s="68"/>
      <c r="G29" s="68"/>
      <c r="H29" s="68"/>
      <c r="I29" s="68"/>
    </row>
    <row r="30" spans="1:11">
      <c r="A30" s="412" t="s">
        <v>165</v>
      </c>
      <c r="B30" s="418">
        <f>B27*B29</f>
        <v>2500</v>
      </c>
      <c r="C30" s="411"/>
      <c r="D30" s="68"/>
      <c r="E30" s="68"/>
      <c r="F30" s="68"/>
      <c r="G30" s="68"/>
      <c r="H30" s="68"/>
      <c r="I30" s="68"/>
    </row>
    <row r="31" spans="1:11">
      <c r="A31" s="412" t="s">
        <v>166</v>
      </c>
      <c r="B31" s="412">
        <f>B27-B30</f>
        <v>22500</v>
      </c>
      <c r="C31" s="411"/>
      <c r="D31" s="68"/>
      <c r="E31" s="68"/>
      <c r="F31" s="68"/>
      <c r="G31" s="68"/>
      <c r="H31" s="68"/>
      <c r="I31" s="68"/>
    </row>
    <row r="32" spans="1:11" ht="15.75" thickBot="1">
      <c r="A32" s="412" t="s">
        <v>167</v>
      </c>
      <c r="B32" s="412">
        <f>B27*Pricing!C36+Kalkulator!K32*Pricing!C37</f>
        <v>5000</v>
      </c>
      <c r="C32" s="411" t="s">
        <v>168</v>
      </c>
      <c r="D32" s="68"/>
      <c r="E32" s="68"/>
      <c r="F32" s="68"/>
      <c r="G32" s="68"/>
      <c r="H32" s="68"/>
      <c r="I32" s="68"/>
    </row>
    <row r="33" spans="1:9" ht="15.75" thickBot="1">
      <c r="A33" s="412" t="s">
        <v>169</v>
      </c>
      <c r="B33" s="419">
        <f>B34-B32</f>
        <v>17500</v>
      </c>
      <c r="C33" s="416">
        <f>C28+B33</f>
        <v>22500</v>
      </c>
      <c r="D33" s="68"/>
      <c r="E33" s="68"/>
      <c r="F33" s="68"/>
      <c r="G33" s="68"/>
      <c r="H33" s="68"/>
      <c r="I33" s="68"/>
    </row>
    <row r="34" spans="1:9">
      <c r="A34" s="412" t="s">
        <v>170</v>
      </c>
      <c r="B34" s="420">
        <f>B31+Kalkulator!K32</f>
        <v>22500</v>
      </c>
      <c r="C34" s="411"/>
      <c r="D34" s="68"/>
      <c r="E34" s="68"/>
      <c r="F34" s="68"/>
      <c r="G34" s="68"/>
      <c r="H34" s="68"/>
      <c r="I34" s="68"/>
    </row>
    <row r="35" spans="1:9">
      <c r="A35" s="68"/>
      <c r="B35" s="67"/>
      <c r="C35" s="421"/>
      <c r="D35" s="67"/>
      <c r="E35" s="67"/>
      <c r="F35" s="67"/>
      <c r="G35" s="68"/>
      <c r="H35" s="68"/>
      <c r="I35" s="68"/>
    </row>
    <row r="36" spans="1:9">
      <c r="A36" s="218" t="s">
        <v>172</v>
      </c>
      <c r="B36" s="437">
        <v>2</v>
      </c>
      <c r="C36" s="438">
        <f>IF(B36=1,0.4,0.2)</f>
        <v>0.2</v>
      </c>
      <c r="D36" s="422"/>
      <c r="E36" s="423"/>
      <c r="F36" s="67"/>
      <c r="G36" s="68"/>
      <c r="H36" s="68"/>
      <c r="I36" s="68"/>
    </row>
    <row r="37" spans="1:9">
      <c r="A37" s="218" t="s">
        <v>173</v>
      </c>
      <c r="B37" s="437">
        <v>2</v>
      </c>
      <c r="C37" s="439">
        <v>0.2</v>
      </c>
      <c r="D37" s="422"/>
      <c r="E37" s="424"/>
      <c r="F37" s="67"/>
      <c r="G37" s="68"/>
      <c r="H37" s="68"/>
      <c r="I37" s="68"/>
    </row>
    <row r="38" spans="1:9">
      <c r="A38" s="68"/>
      <c r="B38" s="540"/>
      <c r="C38" s="540"/>
      <c r="D38" s="425"/>
      <c r="E38" s="426"/>
      <c r="F38" s="67"/>
      <c r="G38" s="68"/>
      <c r="H38" s="68"/>
      <c r="I38" s="68"/>
    </row>
    <row r="39" spans="1:9">
      <c r="A39" s="68"/>
      <c r="B39" s="346"/>
      <c r="C39" s="346"/>
      <c r="D39" s="427"/>
      <c r="E39" s="428"/>
      <c r="F39" s="67"/>
      <c r="G39" s="68"/>
      <c r="H39" s="68"/>
      <c r="I39" s="68"/>
    </row>
    <row r="40" spans="1:9">
      <c r="A40" s="68"/>
      <c r="B40" s="67"/>
      <c r="C40" s="67"/>
      <c r="D40" s="67"/>
      <c r="E40" s="67"/>
      <c r="F40" s="67"/>
      <c r="G40" s="68"/>
      <c r="H40" s="68"/>
      <c r="I40" s="68"/>
    </row>
    <row r="41" spans="1:9">
      <c r="A41" s="68"/>
      <c r="B41" s="68"/>
      <c r="C41" s="68"/>
      <c r="D41" s="68"/>
      <c r="E41" s="68"/>
      <c r="F41" s="68"/>
      <c r="G41" s="68"/>
      <c r="H41" s="68"/>
      <c r="I41" s="68"/>
    </row>
    <row r="42" spans="1:9">
      <c r="A42" s="68"/>
      <c r="B42" s="68"/>
      <c r="C42" s="68"/>
      <c r="D42" s="68"/>
      <c r="E42" s="68"/>
      <c r="F42" s="68"/>
      <c r="G42" s="68"/>
      <c r="H42" s="68"/>
      <c r="I42" s="68"/>
    </row>
    <row r="43" spans="1:9">
      <c r="A43" s="68"/>
      <c r="B43" s="68"/>
      <c r="C43" s="68"/>
      <c r="D43" s="68"/>
      <c r="E43" s="68"/>
      <c r="F43" s="68"/>
      <c r="G43" s="68"/>
      <c r="H43" s="68"/>
      <c r="I43" s="68"/>
    </row>
    <row r="44" spans="1:9">
      <c r="A44" s="68"/>
      <c r="B44" s="68"/>
      <c r="C44" s="68"/>
      <c r="D44" s="68"/>
      <c r="E44" s="68"/>
      <c r="F44" s="68"/>
      <c r="G44" s="68"/>
      <c r="H44" s="68"/>
      <c r="I44" s="68"/>
    </row>
    <row r="45" spans="1:9">
      <c r="A45" s="68"/>
      <c r="B45" s="68"/>
      <c r="C45" s="68"/>
      <c r="D45" s="68"/>
      <c r="E45" s="68"/>
      <c r="F45" s="68"/>
      <c r="G45" s="68"/>
      <c r="H45" s="68"/>
      <c r="I45" s="68"/>
    </row>
    <row r="46" spans="1:9">
      <c r="A46" s="68"/>
      <c r="B46" s="68"/>
      <c r="C46" s="68"/>
      <c r="D46" s="68"/>
      <c r="E46" s="68"/>
      <c r="F46" s="68"/>
      <c r="G46" s="68"/>
      <c r="H46" s="68"/>
      <c r="I46" s="68"/>
    </row>
    <row r="47" spans="1:9">
      <c r="A47" s="68"/>
      <c r="B47" s="68"/>
      <c r="C47" s="68"/>
      <c r="D47" s="68"/>
      <c r="E47" s="68"/>
      <c r="F47" s="68"/>
      <c r="G47" s="68"/>
      <c r="H47" s="68"/>
      <c r="I47" s="68"/>
    </row>
  </sheetData>
  <sheetProtection password="D200" sheet="1" objects="1" scenarios="1" selectLockedCells="1" selectUnlockedCells="1"/>
  <dataConsolidate/>
  <mergeCells count="1">
    <mergeCell ref="B38:C38"/>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2" enableFormatConditionsCalculation="0">
    <tabColor rgb="FFFF0000"/>
    <pageSetUpPr fitToPage="1"/>
  </sheetPr>
  <dimension ref="A1:XFC127"/>
  <sheetViews>
    <sheetView showGridLines="0" tabSelected="1" zoomScaleSheetLayoutView="100" workbookViewId="0">
      <selection activeCell="L2" sqref="L2:M2"/>
    </sheetView>
  </sheetViews>
  <sheetFormatPr defaultColWidth="0" defaultRowHeight="15" zeroHeight="1"/>
  <cols>
    <col min="1" max="1" width="6.109375" style="23" customWidth="1"/>
    <col min="2" max="2" width="5.6640625" style="23" customWidth="1"/>
    <col min="3" max="3" width="2.77734375" style="23" customWidth="1"/>
    <col min="4" max="4" width="25.77734375" style="23" customWidth="1"/>
    <col min="5" max="5" width="12.5546875" style="23" customWidth="1"/>
    <col min="6" max="6" width="6.77734375" style="23" customWidth="1"/>
    <col min="7" max="7" width="1.109375" style="23" customWidth="1"/>
    <col min="8" max="8" width="8.21875" style="23" customWidth="1"/>
    <col min="9" max="9" width="0.6640625" style="23" customWidth="1"/>
    <col min="10" max="10" width="20.6640625" style="23" customWidth="1"/>
    <col min="11" max="11" width="6.77734375" style="23" customWidth="1"/>
    <col min="12" max="12" width="3.44140625" style="23" customWidth="1"/>
    <col min="13" max="13" width="5.77734375" style="23" customWidth="1"/>
    <col min="14" max="14" width="6.77734375" style="23" customWidth="1"/>
    <col min="15" max="15" width="17.33203125" style="23" hidden="1"/>
    <col min="16" max="16383" width="6.5546875" style="23" hidden="1"/>
    <col min="16384" max="16384" width="3.21875" style="23" hidden="1"/>
  </cols>
  <sheetData>
    <row r="1" spans="1:13">
      <c r="A1" s="345"/>
      <c r="B1" s="345"/>
      <c r="C1" s="345"/>
      <c r="D1" s="345"/>
      <c r="E1" s="345"/>
      <c r="F1" s="345"/>
      <c r="G1" s="345"/>
      <c r="H1" s="345"/>
      <c r="I1" s="345"/>
      <c r="J1" s="345"/>
      <c r="K1" s="345"/>
      <c r="L1" s="345"/>
      <c r="M1" s="345"/>
    </row>
    <row r="2" spans="1:13">
      <c r="A2" s="345"/>
      <c r="B2" s="345"/>
      <c r="C2" s="345"/>
      <c r="D2" s="345"/>
      <c r="E2" s="345"/>
      <c r="F2" s="345"/>
      <c r="G2" s="345"/>
      <c r="H2" s="345"/>
      <c r="I2" s="582" t="s">
        <v>95</v>
      </c>
      <c r="J2" s="582"/>
      <c r="K2" s="582"/>
      <c r="L2" s="579">
        <f ca="1">Kalkulator!K7</f>
        <v>41626</v>
      </c>
      <c r="M2" s="579"/>
    </row>
    <row r="3" spans="1:13" ht="17.25" customHeight="1">
      <c r="A3" s="345"/>
      <c r="B3" s="345"/>
      <c r="C3" s="345"/>
      <c r="D3" s="345"/>
      <c r="E3" s="345"/>
      <c r="F3" s="345"/>
      <c r="G3" s="345"/>
      <c r="H3" s="345"/>
      <c r="I3" s="345"/>
      <c r="J3" s="345"/>
      <c r="K3" s="345"/>
      <c r="L3" s="345"/>
      <c r="M3" s="345"/>
    </row>
    <row r="4" spans="1:13" ht="18.75">
      <c r="A4" s="345"/>
      <c r="B4" s="345"/>
      <c r="C4" s="345"/>
      <c r="D4" s="586" t="s">
        <v>0</v>
      </c>
      <c r="E4" s="586"/>
      <c r="F4" s="586"/>
      <c r="G4" s="586"/>
      <c r="H4" s="586"/>
      <c r="I4" s="586"/>
      <c r="J4" s="586"/>
      <c r="K4" s="345"/>
      <c r="L4" s="345"/>
      <c r="M4" s="345"/>
    </row>
    <row r="5" spans="1:13">
      <c r="A5" s="345"/>
      <c r="B5" s="345"/>
      <c r="C5" s="345"/>
      <c r="D5" s="577"/>
      <c r="E5" s="578"/>
      <c r="F5" s="578"/>
      <c r="G5" s="578"/>
      <c r="H5" s="578"/>
      <c r="I5" s="578"/>
      <c r="J5" s="578"/>
      <c r="K5" s="345"/>
      <c r="L5" s="345"/>
      <c r="M5" s="345"/>
    </row>
    <row r="6" spans="1:13" ht="7.5" customHeight="1" thickBot="1">
      <c r="A6" s="345"/>
      <c r="B6" s="345"/>
      <c r="C6" s="345"/>
      <c r="D6" s="346"/>
      <c r="E6" s="346"/>
      <c r="F6" s="346"/>
      <c r="G6" s="346"/>
      <c r="H6" s="346"/>
      <c r="I6" s="346"/>
      <c r="J6" s="346"/>
      <c r="K6" s="346"/>
      <c r="L6" s="346"/>
      <c r="M6" s="345"/>
    </row>
    <row r="7" spans="1:13" ht="15.75" thickBot="1">
      <c r="A7" s="345"/>
      <c r="B7" s="345"/>
      <c r="C7" s="345"/>
      <c r="D7" s="347" t="s">
        <v>64</v>
      </c>
      <c r="E7" s="549" t="str">
        <f>IF(Kalkulator!C7=0, (Kalkulator!A47), (Kalkulator!C7))</f>
        <v>Greentech</v>
      </c>
      <c r="F7" s="550"/>
      <c r="G7" s="550"/>
      <c r="H7" s="550"/>
      <c r="I7" s="551"/>
      <c r="J7" s="552"/>
      <c r="K7" s="348"/>
      <c r="L7" s="349"/>
      <c r="M7" s="345"/>
    </row>
    <row r="8" spans="1:13" ht="16.5" customHeight="1" thickBot="1">
      <c r="A8" s="345"/>
      <c r="B8" s="345"/>
      <c r="C8" s="345"/>
      <c r="D8" s="347" t="s">
        <v>1</v>
      </c>
      <c r="E8" s="549" t="str">
        <f>IF(Kalkulator!C9=0, "", Kalkulator!C9)</f>
        <v>Viljuskar</v>
      </c>
      <c r="F8" s="550"/>
      <c r="G8" s="550"/>
      <c r="H8" s="550"/>
      <c r="I8" s="551"/>
      <c r="J8" s="552"/>
      <c r="K8" s="349"/>
      <c r="L8" s="349"/>
      <c r="M8" s="345"/>
    </row>
    <row r="9" spans="1:13" ht="48.75" customHeight="1" thickBot="1">
      <c r="A9" s="345"/>
      <c r="B9" s="345"/>
      <c r="C9" s="345"/>
      <c r="D9" s="587"/>
      <c r="E9" s="587"/>
      <c r="F9" s="587"/>
      <c r="G9" s="587"/>
      <c r="H9" s="587"/>
      <c r="I9" s="587"/>
      <c r="J9" s="587"/>
      <c r="K9" s="350"/>
      <c r="L9" s="350"/>
      <c r="M9" s="345"/>
    </row>
    <row r="10" spans="1:13" ht="18.75" customHeight="1" thickTop="1" thickBot="1">
      <c r="A10" s="351"/>
      <c r="B10" s="351"/>
      <c r="C10" s="351"/>
      <c r="D10" s="352" t="str">
        <f>IF(Pricing!B5=2,  "Nabavna cena", "Bruto nabavna cena:")</f>
        <v>Bruto nabavna cena:</v>
      </c>
      <c r="E10" s="353"/>
      <c r="F10" s="353"/>
      <c r="G10" s="353"/>
      <c r="H10" s="588">
        <f>IF(Pricing!B5=2, Kalkulator!C19,  Kalkulator!C19*1.2)</f>
        <v>30000</v>
      </c>
      <c r="I10" s="588"/>
      <c r="J10" s="589"/>
      <c r="K10" s="354"/>
      <c r="L10" s="355"/>
      <c r="M10" s="351"/>
    </row>
    <row r="11" spans="1:13" ht="0.75" customHeight="1" thickTop="1">
      <c r="A11" s="351"/>
      <c r="B11" s="351"/>
      <c r="C11" s="356"/>
      <c r="D11" s="357" t="s">
        <v>3</v>
      </c>
      <c r="E11" s="357"/>
      <c r="F11" s="357"/>
      <c r="G11" s="357"/>
      <c r="H11" s="590">
        <f>H10/1.18</f>
        <v>25423.728813559323</v>
      </c>
      <c r="I11" s="590"/>
      <c r="J11" s="590"/>
      <c r="K11" s="354"/>
      <c r="L11" s="355"/>
      <c r="M11" s="351"/>
    </row>
    <row r="12" spans="1:13" ht="16.5" customHeight="1">
      <c r="A12" s="351"/>
      <c r="B12" s="351"/>
      <c r="C12" s="356"/>
      <c r="D12" s="358" t="str">
        <f>IF(Pricing!B5=2, "", "Neto nabavna cena:")</f>
        <v>Neto nabavna cena:</v>
      </c>
      <c r="E12" s="357"/>
      <c r="F12" s="359"/>
      <c r="G12" s="357"/>
      <c r="H12" s="558">
        <f>IF(Pricing!B5=2, "", Kalkulator!F35)</f>
        <v>25000</v>
      </c>
      <c r="I12" s="558"/>
      <c r="J12" s="558"/>
      <c r="K12" s="354"/>
      <c r="L12" s="355"/>
      <c r="M12" s="351"/>
    </row>
    <row r="13" spans="1:13" ht="14.25" hidden="1" customHeight="1">
      <c r="A13" s="351"/>
      <c r="B13" s="351"/>
      <c r="C13" s="356"/>
      <c r="D13" s="357" t="str">
        <f>Kalkulator!J16</f>
        <v>STANDARDNI KALKULATOR 
ERB LEASING
V1.02 by sViLaR</v>
      </c>
      <c r="E13" s="357"/>
      <c r="F13" s="359"/>
      <c r="G13" s="357"/>
      <c r="H13" s="360"/>
      <c r="I13" s="360"/>
      <c r="J13" s="360"/>
      <c r="K13" s="351"/>
      <c r="L13" s="355"/>
      <c r="M13" s="351"/>
    </row>
    <row r="14" spans="1:13" ht="15.75" customHeight="1">
      <c r="A14" s="351"/>
      <c r="B14" s="357"/>
      <c r="C14" s="356"/>
      <c r="D14" s="358" t="str">
        <f>IF(Pricing!B5=2, "", "PDV na neto nabavnu cenu:")</f>
        <v>PDV na neto nabavnu cenu:</v>
      </c>
      <c r="E14" s="351"/>
      <c r="F14" s="351"/>
      <c r="G14" s="351"/>
      <c r="H14" s="558">
        <f>IF(Pricing!B5=2,"", Kalkulator!F38)</f>
        <v>5000</v>
      </c>
      <c r="I14" s="558"/>
      <c r="J14" s="558"/>
      <c r="K14" s="351"/>
      <c r="L14" s="355"/>
      <c r="M14" s="351"/>
    </row>
    <row r="15" spans="1:13" ht="16.5">
      <c r="A15" s="351"/>
      <c r="B15" s="351"/>
      <c r="C15" s="356"/>
      <c r="D15" s="351" t="str">
        <f>IF(Pricing!B5=2, "Učešće:", "Učešće (od neto nabavne cene):")</f>
        <v>Učešće (od neto nabavne cene):</v>
      </c>
      <c r="E15" s="361" t="s">
        <v>17</v>
      </c>
      <c r="F15" s="362">
        <f>Kalkulator!D36</f>
        <v>0.1</v>
      </c>
      <c r="G15" s="363" t="s">
        <v>16</v>
      </c>
      <c r="H15" s="558">
        <f>Kalkulator!F36</f>
        <v>2500</v>
      </c>
      <c r="I15" s="558"/>
      <c r="J15" s="558"/>
      <c r="K15" s="351"/>
      <c r="L15" s="355"/>
      <c r="M15" s="351"/>
    </row>
    <row r="16" spans="1:13" ht="15.75" customHeight="1">
      <c r="A16" s="351"/>
      <c r="B16" s="351"/>
      <c r="C16" s="351"/>
      <c r="D16" s="358" t="str">
        <f>IF(Pricing!B5=2, "", "Učešće (od bruto nabavne cene):")</f>
        <v>Učešće (od bruto nabavne cene):</v>
      </c>
      <c r="E16" s="361" t="s">
        <v>17</v>
      </c>
      <c r="F16" s="362">
        <f>H16/H10</f>
        <v>0.25</v>
      </c>
      <c r="G16" s="363" t="s">
        <v>16</v>
      </c>
      <c r="H16" s="554">
        <f>IF(Pricing!B5=2,"", Kalkulator!F39)</f>
        <v>7500</v>
      </c>
      <c r="I16" s="554"/>
      <c r="J16" s="554"/>
      <c r="K16" s="351"/>
      <c r="L16" s="351"/>
      <c r="M16" s="351"/>
    </row>
    <row r="17" spans="1:13" ht="14.25" hidden="1" customHeight="1">
      <c r="A17" s="351"/>
      <c r="B17" s="351"/>
      <c r="C17" s="356"/>
      <c r="D17" s="356" t="s">
        <v>2</v>
      </c>
      <c r="E17" s="358"/>
      <c r="F17" s="358"/>
      <c r="G17" s="358"/>
      <c r="H17" s="554">
        <f>Kalkulator!F41</f>
        <v>3939.600961587279</v>
      </c>
      <c r="I17" s="554"/>
      <c r="J17" s="554"/>
      <c r="K17" s="351"/>
      <c r="L17" s="351"/>
      <c r="M17" s="351"/>
    </row>
    <row r="18" spans="1:13" ht="15.75" customHeight="1">
      <c r="A18" s="351"/>
      <c r="B18" s="351"/>
      <c r="C18" s="356"/>
      <c r="D18" s="358" t="s">
        <v>139</v>
      </c>
      <c r="E18" s="356"/>
      <c r="F18" s="356"/>
      <c r="G18" s="356"/>
      <c r="H18" s="554">
        <f>Kalkulator!$F$40</f>
        <v>22500</v>
      </c>
      <c r="I18" s="554"/>
      <c r="J18" s="554"/>
      <c r="K18" s="351"/>
      <c r="L18" s="351"/>
      <c r="M18" s="351"/>
    </row>
    <row r="19" spans="1:13" ht="20.25" hidden="1" customHeight="1">
      <c r="A19" s="351"/>
      <c r="B19" s="351"/>
      <c r="C19" s="356"/>
      <c r="D19" s="356"/>
      <c r="E19" s="358"/>
      <c r="F19" s="358"/>
      <c r="G19" s="358"/>
      <c r="H19" s="553"/>
      <c r="I19" s="553"/>
      <c r="J19" s="553"/>
      <c r="K19" s="351"/>
      <c r="L19" s="364"/>
      <c r="M19" s="351"/>
    </row>
    <row r="20" spans="1:13" ht="8.25" customHeight="1" thickBot="1">
      <c r="A20" s="351"/>
      <c r="B20" s="351"/>
      <c r="C20" s="356"/>
      <c r="D20" s="356"/>
      <c r="E20" s="358"/>
      <c r="F20" s="358"/>
      <c r="G20" s="358"/>
      <c r="H20" s="356"/>
      <c r="I20" s="356"/>
      <c r="J20" s="356"/>
      <c r="K20" s="351"/>
      <c r="L20" s="364"/>
      <c r="M20" s="351"/>
    </row>
    <row r="21" spans="1:13" ht="19.5" customHeight="1" thickTop="1" thickBot="1">
      <c r="A21" s="351"/>
      <c r="B21" s="351"/>
      <c r="C21" s="351"/>
      <c r="D21" s="365" t="s">
        <v>5</v>
      </c>
      <c r="E21" s="366"/>
      <c r="F21" s="367"/>
      <c r="G21" s="367"/>
      <c r="H21" s="556">
        <f>Kalkulator!F44</f>
        <v>440.66001602645463</v>
      </c>
      <c r="I21" s="556"/>
      <c r="J21" s="557"/>
      <c r="K21" s="354"/>
      <c r="L21" s="355"/>
      <c r="M21" s="351"/>
    </row>
    <row r="22" spans="1:13" ht="3" hidden="1" customHeight="1" thickTop="1">
      <c r="A22" s="351"/>
      <c r="B22" s="351"/>
      <c r="C22" s="356"/>
      <c r="D22" s="368"/>
      <c r="E22" s="369"/>
      <c r="F22" s="369"/>
      <c r="G22" s="369"/>
      <c r="H22" s="555"/>
      <c r="I22" s="555"/>
      <c r="J22" s="555"/>
      <c r="K22" s="354"/>
      <c r="L22" s="355"/>
      <c r="M22" s="351"/>
    </row>
    <row r="23" spans="1:13" ht="15.75" customHeight="1" thickTop="1">
      <c r="A23" s="351"/>
      <c r="B23" s="351"/>
      <c r="C23" s="356"/>
      <c r="D23" s="358" t="s">
        <v>6</v>
      </c>
      <c r="E23" s="356"/>
      <c r="F23" s="356"/>
      <c r="G23" s="356"/>
      <c r="H23" s="553">
        <f>Kalkulator!C23</f>
        <v>60</v>
      </c>
      <c r="I23" s="553"/>
      <c r="J23" s="553"/>
      <c r="K23" s="354"/>
      <c r="L23" s="355"/>
      <c r="M23" s="351"/>
    </row>
    <row r="24" spans="1:13" ht="18" customHeight="1">
      <c r="A24" s="351"/>
      <c r="B24" s="351"/>
      <c r="C24" s="356"/>
      <c r="D24" s="358" t="s">
        <v>7</v>
      </c>
      <c r="E24" s="358"/>
      <c r="F24" s="358"/>
      <c r="G24" s="358"/>
      <c r="H24" s="566">
        <f>Kalkulator!C25</f>
        <v>0</v>
      </c>
      <c r="I24" s="553"/>
      <c r="J24" s="553"/>
      <c r="K24" s="354"/>
      <c r="L24" s="355"/>
      <c r="M24" s="351"/>
    </row>
    <row r="25" spans="1:13" ht="7.5" hidden="1" customHeight="1">
      <c r="A25" s="351"/>
      <c r="B25" s="351"/>
      <c r="C25" s="356"/>
      <c r="D25" s="356" t="s">
        <v>8</v>
      </c>
      <c r="E25" s="358"/>
      <c r="F25" s="358"/>
      <c r="G25" s="358"/>
      <c r="H25" s="554">
        <f>H15-H24</f>
        <v>2500</v>
      </c>
      <c r="I25" s="553"/>
      <c r="J25" s="553"/>
      <c r="K25" s="351"/>
      <c r="L25" s="351"/>
      <c r="M25" s="351"/>
    </row>
    <row r="26" spans="1:13" ht="14.25" hidden="1" customHeight="1">
      <c r="A26" s="351"/>
      <c r="B26" s="351"/>
      <c r="C26" s="356"/>
      <c r="D26" s="356"/>
      <c r="E26" s="356"/>
      <c r="F26" s="356"/>
      <c r="G26" s="356"/>
      <c r="H26" s="553"/>
      <c r="I26" s="553"/>
      <c r="J26" s="553"/>
      <c r="K26" s="351"/>
      <c r="L26" s="351"/>
      <c r="M26" s="351"/>
    </row>
    <row r="27" spans="1:13" ht="15.75" customHeight="1">
      <c r="A27" s="351"/>
      <c r="B27" s="351"/>
      <c r="C27" s="356"/>
      <c r="D27" s="356" t="s">
        <v>65</v>
      </c>
      <c r="E27" s="356"/>
      <c r="F27" s="356"/>
      <c r="G27" s="356"/>
      <c r="H27" s="554">
        <f>Kalkulator!F50</f>
        <v>28939.600961587279</v>
      </c>
      <c r="I27" s="553"/>
      <c r="J27" s="553"/>
      <c r="K27" s="351"/>
      <c r="L27" s="351"/>
      <c r="M27" s="351"/>
    </row>
    <row r="28" spans="1:13" ht="16.5">
      <c r="A28" s="351"/>
      <c r="B28" s="351"/>
      <c r="C28" s="356"/>
      <c r="D28" s="356" t="s">
        <v>193</v>
      </c>
      <c r="E28" s="356"/>
      <c r="F28" s="356"/>
      <c r="G28" s="356"/>
      <c r="H28" s="548">
        <f>Kalkulator!F51</f>
        <v>5787.920192317456</v>
      </c>
      <c r="I28" s="548"/>
      <c r="J28" s="548"/>
      <c r="K28" s="351"/>
      <c r="L28" s="351"/>
      <c r="M28" s="351"/>
    </row>
    <row r="29" spans="1:13" ht="18" customHeight="1">
      <c r="A29" s="351"/>
      <c r="B29" s="351"/>
      <c r="C29" s="356"/>
      <c r="D29" s="358" t="str">
        <f>IF(Pricing!B20=2, "", "PDV na neto nabavnu cenu:")</f>
        <v>PDV na neto nabavnu cenu:</v>
      </c>
      <c r="E29" s="351"/>
      <c r="F29" s="351"/>
      <c r="G29" s="351"/>
      <c r="H29" s="558">
        <f t="shared" ref="H29" si="0">$H$14</f>
        <v>5000</v>
      </c>
      <c r="I29" s="558"/>
      <c r="J29" s="558"/>
      <c r="K29" s="351"/>
      <c r="L29" s="351"/>
      <c r="M29" s="351"/>
    </row>
    <row r="30" spans="1:13" ht="16.5">
      <c r="A30" s="351"/>
      <c r="B30" s="351"/>
      <c r="C30" s="356"/>
      <c r="D30" s="356" t="s">
        <v>140</v>
      </c>
      <c r="E30" s="356"/>
      <c r="F30" s="356"/>
      <c r="G30" s="356"/>
      <c r="H30" s="548">
        <f>H28-H14</f>
        <v>787.92019231745599</v>
      </c>
      <c r="I30" s="548"/>
      <c r="J30" s="548"/>
      <c r="K30" s="351"/>
      <c r="L30" s="351"/>
      <c r="M30" s="351"/>
    </row>
    <row r="31" spans="1:13" ht="19.5" hidden="1" customHeight="1">
      <c r="A31" s="351"/>
      <c r="B31" s="351"/>
      <c r="C31" s="356"/>
      <c r="D31" s="356"/>
      <c r="E31" s="356"/>
      <c r="F31" s="356"/>
      <c r="G31" s="356"/>
      <c r="H31" s="370"/>
      <c r="I31" s="370"/>
      <c r="J31" s="370"/>
      <c r="K31" s="351"/>
      <c r="L31" s="351"/>
      <c r="M31" s="351"/>
    </row>
    <row r="32" spans="1:13" ht="19.5" hidden="1" customHeight="1">
      <c r="A32" s="351"/>
      <c r="B32" s="351"/>
      <c r="C32" s="356"/>
      <c r="D32" s="356" t="s">
        <v>63</v>
      </c>
      <c r="E32" s="371"/>
      <c r="F32" s="371"/>
      <c r="G32" s="371"/>
      <c r="H32" s="566">
        <f>Kalkulator!F57+Kalkulator!F56</f>
        <v>176</v>
      </c>
      <c r="I32" s="566"/>
      <c r="J32" s="566"/>
      <c r="K32" s="351"/>
      <c r="L32" s="351"/>
      <c r="M32" s="351"/>
    </row>
    <row r="33" spans="1:15" ht="6.75" customHeight="1" thickBot="1">
      <c r="A33" s="351"/>
      <c r="B33" s="351"/>
      <c r="C33" s="356"/>
      <c r="D33" s="372"/>
      <c r="E33" s="371"/>
      <c r="F33" s="371"/>
      <c r="G33" s="371"/>
      <c r="H33" s="373"/>
      <c r="I33" s="373"/>
      <c r="J33" s="373"/>
      <c r="K33" s="351"/>
      <c r="L33" s="351"/>
      <c r="M33" s="351"/>
    </row>
    <row r="34" spans="1:15" ht="19.5" customHeight="1" thickBot="1">
      <c r="A34" s="351"/>
      <c r="B34" s="351"/>
      <c r="C34" s="374"/>
      <c r="D34" s="375" t="s">
        <v>9</v>
      </c>
      <c r="E34" s="368"/>
      <c r="F34" s="368"/>
      <c r="G34" s="368"/>
      <c r="H34" s="583"/>
      <c r="I34" s="583"/>
      <c r="J34" s="583"/>
      <c r="K34" s="376"/>
      <c r="L34" s="351"/>
      <c r="M34" s="351"/>
    </row>
    <row r="35" spans="1:15" ht="18" customHeight="1" thickTop="1">
      <c r="A35" s="351"/>
      <c r="B35" s="351"/>
      <c r="C35" s="351"/>
      <c r="D35" s="377" t="s">
        <v>62</v>
      </c>
      <c r="E35" s="378"/>
      <c r="F35" s="378"/>
      <c r="G35" s="378"/>
      <c r="H35" s="564">
        <f>Kalkulator!F54</f>
        <v>2500</v>
      </c>
      <c r="I35" s="564"/>
      <c r="J35" s="565"/>
      <c r="K35" s="351"/>
      <c r="L35" s="351"/>
      <c r="M35" s="351"/>
    </row>
    <row r="36" spans="1:15" ht="15.75" customHeight="1">
      <c r="A36" s="351"/>
      <c r="B36" s="351"/>
      <c r="C36" s="351"/>
      <c r="D36" s="377" t="str">
        <f>IF(Kalkulator!C29=0,(IF(Kalkulator!C27=1, "Ukupni PDV:", "I rata PDV-a:")), "PDV ne ulazi u ukupne troškove na početku")</f>
        <v>PDV ne ulazi u ukupne troškove na početku</v>
      </c>
      <c r="E36" s="368"/>
      <c r="F36" s="368"/>
      <c r="G36" s="368"/>
      <c r="H36" s="547" t="str">
        <f>IF(Kalkulator!C29=0,(IF(Kalkulator!C27=1, H28, 'PDV tabela'!F15)), "")</f>
        <v/>
      </c>
      <c r="I36" s="584"/>
      <c r="J36" s="585"/>
      <c r="K36" s="351"/>
      <c r="L36" s="351"/>
      <c r="M36" s="351"/>
    </row>
    <row r="37" spans="1:15" ht="18.75" customHeight="1">
      <c r="A37" s="351"/>
      <c r="B37" s="351"/>
      <c r="C37" s="351"/>
      <c r="D37" s="377" t="s">
        <v>207</v>
      </c>
      <c r="E37" s="368"/>
      <c r="F37" s="368"/>
      <c r="G37" s="368"/>
      <c r="H37" s="547">
        <f>Kalkulator!F57/1.2</f>
        <v>125</v>
      </c>
      <c r="I37" s="547"/>
      <c r="J37" s="562"/>
      <c r="K37" s="351"/>
      <c r="L37" s="351"/>
      <c r="M37" s="351"/>
    </row>
    <row r="38" spans="1:15" ht="18.75" customHeight="1">
      <c r="A38" s="351"/>
      <c r="B38" s="351"/>
      <c r="C38" s="351"/>
      <c r="D38" s="377" t="s">
        <v>206</v>
      </c>
      <c r="E38" s="368"/>
      <c r="F38" s="368"/>
      <c r="G38" s="368"/>
      <c r="H38" s="547">
        <f>H37*1.2-H37</f>
        <v>25</v>
      </c>
      <c r="I38" s="542"/>
      <c r="J38" s="543"/>
      <c r="K38" s="351"/>
      <c r="L38" s="351"/>
      <c r="M38" s="351"/>
    </row>
    <row r="39" spans="1:15" ht="18.75" customHeight="1">
      <c r="A39" s="351"/>
      <c r="B39" s="351"/>
      <c r="C39" s="351"/>
      <c r="D39" s="377" t="s">
        <v>191</v>
      </c>
      <c r="E39" s="368"/>
      <c r="F39" s="368"/>
      <c r="G39" s="368"/>
      <c r="H39" s="547">
        <f>Kalkulator!$F$60/1.2</f>
        <v>10.434782608695652</v>
      </c>
      <c r="I39" s="542"/>
      <c r="J39" s="543"/>
      <c r="K39" s="351"/>
      <c r="L39" s="351"/>
      <c r="M39" s="351"/>
    </row>
    <row r="40" spans="1:15" ht="18.75" customHeight="1">
      <c r="A40" s="351"/>
      <c r="B40" s="351"/>
      <c r="C40" s="351"/>
      <c r="D40" s="377" t="s">
        <v>208</v>
      </c>
      <c r="E40" s="368"/>
      <c r="F40" s="368"/>
      <c r="G40" s="368"/>
      <c r="H40" s="541">
        <f>H39*1.2-H39</f>
        <v>2.0869565217391308</v>
      </c>
      <c r="I40" s="542"/>
      <c r="J40" s="543"/>
      <c r="K40" s="351"/>
      <c r="L40" s="351"/>
      <c r="M40" s="351"/>
    </row>
    <row r="41" spans="1:15" ht="18" customHeight="1">
      <c r="A41" s="351"/>
      <c r="B41" s="351"/>
      <c r="C41" s="351"/>
      <c r="D41" s="377" t="s">
        <v>192</v>
      </c>
      <c r="E41" s="368"/>
      <c r="F41" s="368"/>
      <c r="G41" s="368"/>
      <c r="H41" s="567">
        <f>Kalkulator!F56/1.2</f>
        <v>21.666666666666668</v>
      </c>
      <c r="I41" s="567"/>
      <c r="J41" s="568"/>
      <c r="K41" s="351"/>
      <c r="L41" s="351"/>
      <c r="M41" s="351"/>
    </row>
    <row r="42" spans="1:15" ht="18" customHeight="1" thickBot="1">
      <c r="A42" s="351"/>
      <c r="B42" s="351"/>
      <c r="C42" s="351"/>
      <c r="D42" s="377" t="s">
        <v>209</v>
      </c>
      <c r="E42" s="368"/>
      <c r="F42" s="368"/>
      <c r="G42" s="368"/>
      <c r="H42" s="544">
        <f>H41*1.2-H41</f>
        <v>4.3333333333333321</v>
      </c>
      <c r="I42" s="545"/>
      <c r="J42" s="546"/>
      <c r="K42" s="351"/>
      <c r="L42" s="351"/>
      <c r="M42" s="351"/>
    </row>
    <row r="43" spans="1:15" ht="19.5" customHeight="1" thickTop="1">
      <c r="A43" s="351"/>
      <c r="B43" s="351"/>
      <c r="C43" s="351"/>
      <c r="D43" s="379" t="s">
        <v>10</v>
      </c>
      <c r="E43" s="380"/>
      <c r="F43" s="380"/>
      <c r="G43" s="380"/>
      <c r="H43" s="573">
        <f>SUM(H35:H42)</f>
        <v>2688.5217391304345</v>
      </c>
      <c r="I43" s="573"/>
      <c r="J43" s="574"/>
      <c r="K43" s="351"/>
      <c r="L43" s="351"/>
      <c r="M43" s="351"/>
      <c r="O43" s="129">
        <f>H28+(H28*Kalkulator!C29*H49/360)*1.2</f>
        <v>5863.6261884329679</v>
      </c>
    </row>
    <row r="44" spans="1:15" ht="6.75" customHeight="1" thickBot="1">
      <c r="A44" s="351"/>
      <c r="B44" s="351"/>
      <c r="C44" s="356"/>
      <c r="D44" s="563"/>
      <c r="E44" s="381"/>
      <c r="F44" s="381"/>
      <c r="G44" s="381"/>
      <c r="H44" s="572"/>
      <c r="I44" s="572"/>
      <c r="J44" s="572"/>
      <c r="K44" s="351"/>
      <c r="L44" s="351"/>
      <c r="M44" s="351"/>
    </row>
    <row r="45" spans="1:15" ht="14.25" hidden="1" customHeight="1">
      <c r="A45" s="351"/>
      <c r="B45" s="351"/>
      <c r="C45" s="356"/>
      <c r="D45" s="563"/>
      <c r="E45" s="382"/>
      <c r="F45" s="382"/>
      <c r="G45" s="382"/>
      <c r="H45" s="572"/>
      <c r="I45" s="572"/>
      <c r="J45" s="572"/>
      <c r="K45" s="351"/>
      <c r="L45" s="351"/>
      <c r="M45" s="351"/>
    </row>
    <row r="46" spans="1:15" ht="0.75" hidden="1" customHeight="1">
      <c r="A46" s="351"/>
      <c r="B46" s="351"/>
      <c r="C46" s="383" t="s">
        <v>19</v>
      </c>
      <c r="D46" s="563"/>
      <c r="E46" s="384"/>
      <c r="F46" s="384"/>
      <c r="G46" s="384"/>
      <c r="H46" s="572"/>
      <c r="I46" s="572"/>
      <c r="J46" s="572"/>
      <c r="K46" s="351"/>
      <c r="L46" s="351"/>
      <c r="M46" s="351"/>
    </row>
    <row r="47" spans="1:15" ht="12.75" hidden="1" customHeight="1">
      <c r="A47" s="351"/>
      <c r="B47" s="351"/>
      <c r="C47" s="356"/>
      <c r="D47" s="563"/>
      <c r="E47" s="385"/>
      <c r="F47" s="385"/>
      <c r="G47" s="385"/>
      <c r="H47" s="572"/>
      <c r="I47" s="572"/>
      <c r="J47" s="572"/>
      <c r="K47" s="351"/>
      <c r="L47" s="351"/>
      <c r="M47" s="351"/>
    </row>
    <row r="48" spans="1:15" ht="15.75" customHeight="1" thickBot="1">
      <c r="A48" s="351"/>
      <c r="B48" s="351"/>
      <c r="C48" s="356"/>
      <c r="D48" s="386" t="str">
        <f>IF(Kalkulator!C29&lt;&gt;0, "PDV se finansira do povraćaja:", "")</f>
        <v>PDV se finansira do povraćaja:</v>
      </c>
      <c r="E48" s="387"/>
      <c r="F48" s="387"/>
      <c r="G48" s="387"/>
      <c r="H48" s="580">
        <f>IF(Kalkulator!C29&lt;&gt;0, Ponuda1M!O43, "")</f>
        <v>5863.6261884329679</v>
      </c>
      <c r="I48" s="580"/>
      <c r="J48" s="581"/>
      <c r="K48" s="351"/>
      <c r="L48" s="351"/>
      <c r="M48" s="351"/>
    </row>
    <row r="49" spans="1:13" ht="17.25" customHeight="1">
      <c r="A49" s="356"/>
      <c r="B49" s="356"/>
      <c r="C49" s="356"/>
      <c r="D49" s="83" t="s">
        <v>11</v>
      </c>
      <c r="E49" s="83"/>
      <c r="F49" s="83"/>
      <c r="G49" s="83"/>
      <c r="H49" s="560">
        <f>Kalkulator!F63</f>
        <v>6.54E-2</v>
      </c>
      <c r="I49" s="561"/>
      <c r="J49" s="561"/>
      <c r="K49" s="356"/>
      <c r="L49" s="356"/>
      <c r="M49" s="356"/>
    </row>
    <row r="50" spans="1:13" ht="18" hidden="1" customHeight="1">
      <c r="A50" s="576" t="s">
        <v>146</v>
      </c>
      <c r="B50" s="576"/>
      <c r="C50" s="576"/>
      <c r="D50" s="576"/>
      <c r="E50" s="576"/>
      <c r="F50" s="576"/>
      <c r="G50" s="576"/>
      <c r="H50" s="576"/>
      <c r="I50" s="576"/>
      <c r="J50" s="576"/>
      <c r="K50" s="576"/>
      <c r="L50" s="576"/>
      <c r="M50" s="576"/>
    </row>
    <row r="51" spans="1:13" ht="15.75" customHeight="1">
      <c r="A51" s="356"/>
      <c r="B51" s="356"/>
      <c r="C51" s="356"/>
      <c r="D51" s="83" t="s">
        <v>12</v>
      </c>
      <c r="E51" s="83"/>
      <c r="F51" s="83"/>
      <c r="G51" s="83"/>
      <c r="H51" s="560">
        <f>Kalkulator!F64</f>
        <v>8.7156055676248734E-2</v>
      </c>
      <c r="I51" s="561"/>
      <c r="J51" s="561"/>
      <c r="K51" s="356"/>
      <c r="L51" s="356"/>
      <c r="M51" s="356"/>
    </row>
    <row r="52" spans="1:13" ht="15.75" customHeight="1">
      <c r="A52" s="345"/>
      <c r="B52" s="345"/>
      <c r="C52" s="345"/>
      <c r="D52" s="388"/>
      <c r="E52" s="345"/>
      <c r="F52" s="345"/>
      <c r="G52" s="345"/>
      <c r="H52" s="575"/>
      <c r="I52" s="575"/>
      <c r="J52" s="575"/>
      <c r="K52" s="345"/>
      <c r="L52" s="345"/>
      <c r="M52" s="345"/>
    </row>
    <row r="53" spans="1:13" s="127" customFormat="1" ht="15.75" thickBot="1">
      <c r="A53" s="389" t="s">
        <v>141</v>
      </c>
      <c r="B53" s="389"/>
      <c r="C53" s="389"/>
      <c r="D53" s="389"/>
      <c r="E53" s="389" t="str">
        <f>Kalkulator!$K$12</f>
        <v>( 3M EURIBOR ) =</v>
      </c>
      <c r="F53" s="390">
        <f>Kalkulator!$K$10</f>
        <v>2.8999999999999998E-3</v>
      </c>
      <c r="G53" s="391" t="s">
        <v>134</v>
      </c>
      <c r="H53" s="390">
        <f>Kalkulator!$K$11</f>
        <v>6.25E-2</v>
      </c>
      <c r="I53" s="392"/>
      <c r="J53" s="392" t="s">
        <v>135</v>
      </c>
      <c r="K53" s="393">
        <f>Kalkulator!$K$8</f>
        <v>6.54E-2</v>
      </c>
      <c r="L53" s="394"/>
      <c r="M53" s="394"/>
    </row>
    <row r="54" spans="1:13" s="571" customFormat="1" ht="172.5" customHeight="1">
      <c r="A54" s="569" t="str">
        <f>IF(Kalkulator!F5=1,Kalkulator!B73,Kalkulator!L73)</f>
        <v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v>
      </c>
      <c r="B54" s="570"/>
      <c r="C54" s="570"/>
      <c r="D54" s="570"/>
      <c r="E54" s="570"/>
      <c r="F54" s="570"/>
      <c r="G54" s="570"/>
      <c r="H54" s="570"/>
      <c r="I54" s="570"/>
      <c r="J54" s="570"/>
      <c r="K54" s="570"/>
      <c r="L54" s="570"/>
      <c r="M54" s="570"/>
    </row>
    <row r="55" spans="1:13" s="571" customFormat="1" ht="174" customHeight="1" thickBot="1">
      <c r="A55" s="570"/>
      <c r="B55" s="570"/>
      <c r="C55" s="570"/>
      <c r="D55" s="570"/>
      <c r="E55" s="570"/>
      <c r="F55" s="570"/>
      <c r="G55" s="570"/>
      <c r="H55" s="570"/>
      <c r="I55" s="570"/>
      <c r="J55" s="570"/>
      <c r="K55" s="570"/>
      <c r="L55" s="570"/>
      <c r="M55" s="570"/>
    </row>
    <row r="56" spans="1:13" hidden="1"/>
    <row r="57" spans="1:13" hidden="1"/>
    <row r="58" spans="1:13" hidden="1"/>
    <row r="59" spans="1:13" hidden="1"/>
    <row r="60" spans="1:13" hidden="1"/>
    <row r="61" spans="1:13" hidden="1"/>
    <row r="62" spans="1:13" hidden="1"/>
    <row r="63" spans="1:13" hidden="1"/>
    <row r="64" spans="1:13" hidden="1"/>
    <row r="65" hidden="1"/>
    <row r="66" hidden="1"/>
    <row r="67" hidden="1"/>
    <row r="68" hidden="1"/>
    <row r="69" hidden="1"/>
    <row r="70" hidden="1"/>
    <row r="71" hidden="1"/>
    <row r="72" ht="12" hidden="1" customHeight="1"/>
    <row r="73" ht="12" hidden="1" customHeight="1"/>
    <row r="74" ht="12" hidden="1" customHeight="1"/>
    <row r="75" ht="12" hidden="1" customHeight="1"/>
    <row r="76" ht="12" hidden="1" customHeight="1"/>
    <row r="77" ht="12" hidden="1" customHeight="1"/>
    <row r="78" ht="12" hidden="1" customHeight="1"/>
    <row r="79" ht="12" hidden="1" customHeight="1"/>
    <row r="80" ht="12" hidden="1" customHeight="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ht="12" hidden="1" customHeight="1"/>
    <row r="98" ht="12" hidden="1" customHeight="1"/>
    <row r="99" ht="12" hidden="1" customHeight="1"/>
    <row r="100" ht="12" hidden="1" customHeight="1"/>
    <row r="101" ht="12" hidden="1" customHeight="1"/>
    <row r="102" ht="12" hidden="1" customHeight="1"/>
    <row r="103" ht="12" hidden="1" customHeight="1"/>
    <row r="104" ht="12" hidden="1" customHeight="1"/>
    <row r="105" ht="12" hidden="1" customHeight="1"/>
    <row r="106" ht="12" hidden="1" customHeight="1"/>
    <row r="107" ht="12" hidden="1" customHeight="1"/>
    <row r="108" ht="12" hidden="1" customHeight="1"/>
    <row r="109" ht="12" hidden="1" customHeight="1"/>
    <row r="110" ht="12" hidden="1" customHeight="1"/>
    <row r="111" ht="12" hidden="1" customHeight="1"/>
    <row r="112" ht="12" hidden="1" customHeight="1"/>
    <row r="113" spans="1:13" s="37" customFormat="1" ht="15" customHeight="1" thickBot="1">
      <c r="A113" s="559" t="s">
        <v>181</v>
      </c>
      <c r="B113" s="559"/>
      <c r="C113" s="559"/>
      <c r="D113" s="559"/>
      <c r="E113" s="559"/>
      <c r="F113" s="559"/>
      <c r="G113" s="559"/>
      <c r="H113" s="559"/>
      <c r="I113" s="559"/>
      <c r="J113" s="559"/>
      <c r="K113" s="559"/>
      <c r="L113" s="559"/>
      <c r="M113" s="559"/>
    </row>
    <row r="114" spans="1:13" ht="15" customHeight="1">
      <c r="A114" s="429">
        <f>Kalkulator!$K$9</f>
        <v>5.0000000000000001E-3</v>
      </c>
    </row>
    <row r="115" spans="1:13" ht="13.5" customHeight="1"/>
    <row r="116" spans="1:13" ht="18" customHeight="1"/>
    <row r="117" spans="1:13" hidden="1"/>
    <row r="118" spans="1:13" hidden="1"/>
    <row r="119" spans="1:13" hidden="1"/>
    <row r="120" spans="1:13" hidden="1"/>
    <row r="121" spans="1:13" hidden="1"/>
    <row r="122" spans="1:13" hidden="1"/>
    <row r="123" spans="1:13" hidden="1"/>
    <row r="124" spans="1:13" hidden="1"/>
    <row r="125" spans="1:13"/>
    <row r="126" spans="1:13"/>
    <row r="127" spans="1:13"/>
  </sheetData>
  <sheetProtection password="D200" sheet="1" objects="1" scenarios="1" selectLockedCells="1"/>
  <mergeCells count="46">
    <mergeCell ref="A50:M50"/>
    <mergeCell ref="D5:J5"/>
    <mergeCell ref="L2:M2"/>
    <mergeCell ref="H48:J48"/>
    <mergeCell ref="I2:K2"/>
    <mergeCell ref="H34:J34"/>
    <mergeCell ref="H36:J36"/>
    <mergeCell ref="H25:J25"/>
    <mergeCell ref="D4:J4"/>
    <mergeCell ref="D9:J9"/>
    <mergeCell ref="H12:J12"/>
    <mergeCell ref="H24:J24"/>
    <mergeCell ref="H26:J26"/>
    <mergeCell ref="H10:J10"/>
    <mergeCell ref="H11:J11"/>
    <mergeCell ref="H14:J14"/>
    <mergeCell ref="H29:J29"/>
    <mergeCell ref="E7:J7"/>
    <mergeCell ref="A113:M113"/>
    <mergeCell ref="H27:J27"/>
    <mergeCell ref="H28:J28"/>
    <mergeCell ref="H49:J49"/>
    <mergeCell ref="H37:J37"/>
    <mergeCell ref="D44:D47"/>
    <mergeCell ref="H35:J35"/>
    <mergeCell ref="H32:J32"/>
    <mergeCell ref="H41:J41"/>
    <mergeCell ref="A54:XFD55"/>
    <mergeCell ref="H51:J51"/>
    <mergeCell ref="H44:J47"/>
    <mergeCell ref="H43:J43"/>
    <mergeCell ref="H52:J52"/>
    <mergeCell ref="E8:J8"/>
    <mergeCell ref="H23:J23"/>
    <mergeCell ref="H17:J17"/>
    <mergeCell ref="H18:J18"/>
    <mergeCell ref="H19:J19"/>
    <mergeCell ref="H22:J22"/>
    <mergeCell ref="H16:J16"/>
    <mergeCell ref="H21:J21"/>
    <mergeCell ref="H15:J15"/>
    <mergeCell ref="H40:J40"/>
    <mergeCell ref="H42:J42"/>
    <mergeCell ref="H38:J38"/>
    <mergeCell ref="H39:J39"/>
    <mergeCell ref="H30:J30"/>
  </mergeCells>
  <phoneticPr fontId="2" type="noConversion"/>
  <pageMargins left="0.39370078740157483" right="0.39370078740157483" top="0.19685039370078741" bottom="0.19685039370078741" header="0.51181102362204722" footer="0.51181102362204722"/>
  <pageSetup scale="7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sheetPr codeName="Sheet5"/>
  <dimension ref="A1:M104"/>
  <sheetViews>
    <sheetView showGridLines="0" topLeftCell="A14" zoomScaleSheetLayoutView="100" workbookViewId="0">
      <selection activeCell="D4" sqref="D4:H4"/>
    </sheetView>
  </sheetViews>
  <sheetFormatPr defaultColWidth="0" defaultRowHeight="15" zeroHeight="1"/>
  <cols>
    <col min="1" max="1" width="6.109375" style="23" customWidth="1"/>
    <col min="2" max="3" width="5.6640625" style="23" customWidth="1"/>
    <col min="4" max="4" width="22" style="23" customWidth="1"/>
    <col min="5" max="5" width="1.109375" style="23" customWidth="1"/>
    <col min="6" max="6" width="6" style="23" bestFit="1" customWidth="1"/>
    <col min="7" max="7" width="0.88671875" style="23" customWidth="1"/>
    <col min="8" max="8" width="9.44140625" style="23" bestFit="1" customWidth="1"/>
    <col min="9" max="9" width="0.6640625" style="23" customWidth="1"/>
    <col min="10" max="10" width="2" style="23" customWidth="1"/>
    <col min="11" max="11" width="8.109375" style="23" customWidth="1"/>
    <col min="12" max="12" width="8.21875" style="23" customWidth="1"/>
    <col min="13" max="13" width="6.109375" style="23" customWidth="1"/>
    <col min="14" max="16384" width="0" style="23" hidden="1"/>
  </cols>
  <sheetData>
    <row r="1" spans="3:13"/>
    <row r="2" spans="3:13"/>
    <row r="3" spans="3:13"/>
    <row r="4" spans="3:13" ht="18">
      <c r="D4" s="604" t="s">
        <v>94</v>
      </c>
      <c r="E4" s="604"/>
      <c r="F4" s="604"/>
      <c r="G4" s="604"/>
      <c r="H4" s="604"/>
    </row>
    <row r="5" spans="3:13">
      <c r="I5" s="24"/>
      <c r="J5" s="24"/>
      <c r="K5" s="25" t="s">
        <v>25</v>
      </c>
      <c r="L5" s="619">
        <f ca="1">Kalkulator!K7</f>
        <v>41626</v>
      </c>
      <c r="M5" s="619"/>
    </row>
    <row r="6" spans="3:13" ht="7.5" customHeight="1">
      <c r="D6" s="26"/>
      <c r="E6" s="26"/>
      <c r="F6" s="26"/>
      <c r="G6" s="26"/>
      <c r="H6" s="26"/>
      <c r="I6" s="26"/>
      <c r="J6" s="26"/>
      <c r="K6" s="26"/>
      <c r="L6" s="26"/>
    </row>
    <row r="7" spans="3:13">
      <c r="D7" s="52" t="s">
        <v>23</v>
      </c>
      <c r="E7" s="623" t="str">
        <f>IF(Kalkulator!C7=0, (Kalkulator!A47), (Kalkulator!C7))</f>
        <v>Greentech</v>
      </c>
      <c r="F7" s="623"/>
      <c r="G7" s="623"/>
      <c r="H7" s="623"/>
      <c r="I7" s="623"/>
      <c r="J7" s="623"/>
      <c r="K7" s="27"/>
      <c r="L7" s="27"/>
    </row>
    <row r="8" spans="3:13" ht="16.5" customHeight="1">
      <c r="D8" s="52" t="s">
        <v>24</v>
      </c>
      <c r="E8" s="623" t="str">
        <f>IF(Kalkulator!C9=0, "", Kalkulator!C9)</f>
        <v>Viljuskar</v>
      </c>
      <c r="F8" s="623"/>
      <c r="G8" s="623"/>
      <c r="H8" s="623"/>
      <c r="I8" s="623"/>
      <c r="J8" s="623"/>
      <c r="K8" s="27"/>
      <c r="L8" s="27"/>
    </row>
    <row r="9" spans="3:13" ht="15.75" thickBot="1">
      <c r="D9" s="624" t="str">
        <f>Kalkulator!J16</f>
        <v>STANDARDNI KALKULATOR 
ERB LEASING
V1.02 by sViLaR</v>
      </c>
      <c r="E9" s="624"/>
      <c r="F9" s="624"/>
      <c r="G9" s="624"/>
      <c r="H9" s="624"/>
      <c r="I9" s="624"/>
      <c r="J9" s="624"/>
      <c r="K9" s="29"/>
      <c r="L9" s="29"/>
    </row>
    <row r="10" spans="3:13" ht="16.5" thickTop="1" thickBot="1">
      <c r="C10" s="50"/>
      <c r="D10" s="28" t="s">
        <v>26</v>
      </c>
      <c r="E10" s="28"/>
      <c r="F10" s="28"/>
      <c r="G10" s="28"/>
      <c r="H10" s="594">
        <f>IF(Pricing!B5=1,Kalkulator!C19*1.18,Kalkulator!C19)</f>
        <v>29500</v>
      </c>
      <c r="I10" s="594"/>
      <c r="J10" s="595"/>
      <c r="K10" s="30"/>
      <c r="L10" s="31"/>
    </row>
    <row r="11" spans="3:13" ht="15" hidden="1" customHeight="1">
      <c r="C11" s="50"/>
      <c r="D11" s="27" t="s">
        <v>3</v>
      </c>
      <c r="E11" s="27"/>
      <c r="F11" s="27"/>
      <c r="G11" s="27"/>
      <c r="H11" s="596">
        <f>H10/1.18</f>
        <v>25000</v>
      </c>
      <c r="I11" s="596"/>
      <c r="J11" s="597"/>
      <c r="K11" s="30"/>
      <c r="L11" s="31"/>
    </row>
    <row r="12" spans="3:13" ht="15.75" thickTop="1">
      <c r="C12" s="37"/>
      <c r="D12" s="26" t="str">
        <f>IF(Pricing!B5=1, "Net purchase price (without VAT):", "")</f>
        <v>Net purchase price (without VAT):</v>
      </c>
      <c r="E12" s="26"/>
      <c r="F12" s="53"/>
      <c r="G12" s="26"/>
      <c r="H12" s="599">
        <f>IF(Pricing!B5=1,Kalkulator!F35, "")</f>
        <v>25000</v>
      </c>
      <c r="I12" s="599"/>
      <c r="J12" s="599"/>
      <c r="K12" s="30"/>
      <c r="L12" s="31"/>
    </row>
    <row r="13" spans="3:13" ht="15" hidden="1" customHeight="1">
      <c r="C13" s="37"/>
      <c r="D13" s="27" t="str">
        <f>Kalkulator!J16</f>
        <v>STANDARDNI KALKULATOR 
ERB LEASING
V1.02 by sViLaR</v>
      </c>
      <c r="E13" s="27"/>
      <c r="F13" s="32"/>
      <c r="G13" s="27"/>
      <c r="H13" s="33"/>
      <c r="I13" s="33"/>
      <c r="J13" s="33"/>
      <c r="L13" s="31"/>
    </row>
    <row r="14" spans="3:13">
      <c r="C14" s="37"/>
      <c r="D14" s="26" t="str">
        <f>IF(Pricing!B5=1, "VAT on net purchase price:", "")</f>
        <v>VAT on net purchase price:</v>
      </c>
      <c r="E14" s="34"/>
      <c r="F14" s="35"/>
      <c r="G14" s="36"/>
      <c r="H14" s="599">
        <f>IF(Pricing!B5=1, Kalkulator!F38, "")</f>
        <v>5000</v>
      </c>
      <c r="I14" s="599"/>
      <c r="J14" s="599"/>
      <c r="L14" s="31"/>
    </row>
    <row r="15" spans="3:13">
      <c r="D15" s="26" t="str">
        <f>IF(Pricing!B5=1, "Down payment (of net price):", "Down payment:")</f>
        <v>Down payment (of net price):</v>
      </c>
      <c r="E15" s="48" t="s">
        <v>17</v>
      </c>
      <c r="F15" s="49">
        <f>Kalkulator!D36</f>
        <v>0.1</v>
      </c>
      <c r="G15" s="48" t="s">
        <v>16</v>
      </c>
      <c r="H15" s="598">
        <f>Kalkulator!F36</f>
        <v>2500</v>
      </c>
      <c r="I15" s="598"/>
      <c r="J15" s="598"/>
      <c r="L15" s="31"/>
    </row>
    <row r="16" spans="3:13">
      <c r="C16" s="37"/>
      <c r="D16" s="26" t="str">
        <f>IF(Pricing!B5=1, "Down payment:", "")</f>
        <v>Down payment:</v>
      </c>
      <c r="H16" s="615">
        <f>IF(Pricing!B5=1, Kalkulator!F39, "")</f>
        <v>7500</v>
      </c>
      <c r="I16" s="615"/>
      <c r="J16" s="615"/>
    </row>
    <row r="17" spans="3:12" ht="15" hidden="1" customHeight="1">
      <c r="C17" s="37"/>
      <c r="D17" s="37" t="s">
        <v>2</v>
      </c>
      <c r="E17" s="26"/>
      <c r="F17" s="26"/>
      <c r="G17" s="26"/>
      <c r="H17" s="598">
        <f>Kalkulator!F41</f>
        <v>3939.600961587279</v>
      </c>
      <c r="I17" s="598"/>
      <c r="J17" s="598"/>
    </row>
    <row r="18" spans="3:12" ht="15" hidden="1" customHeight="1">
      <c r="C18" s="37"/>
      <c r="D18" s="26" t="s">
        <v>4</v>
      </c>
      <c r="E18" s="37"/>
      <c r="F18" s="37"/>
      <c r="G18" s="37"/>
      <c r="H18" s="598">
        <f>H20*Kalkulator!C23</f>
        <v>26439.600961587279</v>
      </c>
      <c r="I18" s="598"/>
      <c r="J18" s="598"/>
    </row>
    <row r="19" spans="3:12" ht="7.5" customHeight="1" thickBot="1">
      <c r="C19" s="37"/>
      <c r="D19" s="37"/>
      <c r="E19" s="26"/>
      <c r="F19" s="26"/>
      <c r="G19" s="26"/>
      <c r="H19" s="600"/>
      <c r="I19" s="600"/>
      <c r="J19" s="600"/>
      <c r="L19" s="38"/>
    </row>
    <row r="20" spans="3:12" ht="16.5" thickTop="1" thickBot="1">
      <c r="D20" s="39" t="s">
        <v>33</v>
      </c>
      <c r="E20" s="40"/>
      <c r="F20" s="40"/>
      <c r="G20" s="40"/>
      <c r="H20" s="612">
        <f>Kalkulator!F44</f>
        <v>440.66001602645463</v>
      </c>
      <c r="I20" s="612"/>
      <c r="J20" s="613"/>
      <c r="K20" s="30"/>
      <c r="L20" s="31"/>
    </row>
    <row r="21" spans="3:12" ht="7.5" customHeight="1" thickTop="1">
      <c r="C21" s="37"/>
      <c r="D21" s="37"/>
      <c r="E21" s="27"/>
      <c r="F21" s="27"/>
      <c r="G21" s="27"/>
      <c r="H21" s="614"/>
      <c r="I21" s="614"/>
      <c r="J21" s="614"/>
      <c r="K21" s="30"/>
      <c r="L21" s="31"/>
    </row>
    <row r="22" spans="3:12">
      <c r="C22" s="37"/>
      <c r="D22" s="26" t="s">
        <v>34</v>
      </c>
      <c r="E22" s="37"/>
      <c r="F22" s="37"/>
      <c r="G22" s="37"/>
      <c r="H22" s="600">
        <f>Kalkulator!C23</f>
        <v>60</v>
      </c>
      <c r="I22" s="600"/>
      <c r="J22" s="600"/>
      <c r="K22" s="30"/>
      <c r="L22" s="31"/>
    </row>
    <row r="23" spans="3:12">
      <c r="C23" s="37"/>
      <c r="D23" s="26" t="s">
        <v>49</v>
      </c>
      <c r="E23" s="26"/>
      <c r="F23" s="26"/>
      <c r="G23" s="26"/>
      <c r="H23" s="607">
        <f>Kalkulator!C25</f>
        <v>0</v>
      </c>
      <c r="I23" s="600"/>
      <c r="J23" s="600"/>
      <c r="K23" s="30"/>
      <c r="L23" s="31"/>
    </row>
    <row r="24" spans="3:12" ht="15" hidden="1" customHeight="1">
      <c r="C24" s="37"/>
      <c r="D24" s="37" t="s">
        <v>8</v>
      </c>
      <c r="E24" s="26"/>
      <c r="F24" s="26"/>
      <c r="G24" s="26"/>
      <c r="H24" s="598">
        <f>H14-H23</f>
        <v>5000</v>
      </c>
      <c r="I24" s="600"/>
      <c r="J24" s="600"/>
    </row>
    <row r="25" spans="3:12" ht="15" hidden="1" customHeight="1">
      <c r="C25" s="37"/>
      <c r="D25" s="37"/>
      <c r="E25" s="37"/>
      <c r="F25" s="37"/>
      <c r="G25" s="37"/>
      <c r="H25" s="600"/>
      <c r="I25" s="600"/>
      <c r="J25" s="600"/>
    </row>
    <row r="26" spans="3:12">
      <c r="C26" s="37"/>
      <c r="D26" s="37" t="s">
        <v>37</v>
      </c>
      <c r="E26" s="37"/>
      <c r="F26" s="37"/>
      <c r="G26" s="37"/>
      <c r="H26" s="598">
        <f>Kalkulator!F50</f>
        <v>28939.600961587279</v>
      </c>
      <c r="I26" s="600"/>
      <c r="J26" s="600"/>
    </row>
    <row r="27" spans="3:12">
      <c r="C27" s="37"/>
      <c r="D27" s="37" t="s">
        <v>20</v>
      </c>
      <c r="E27" s="37"/>
      <c r="F27" s="37"/>
      <c r="G27" s="37"/>
      <c r="H27" s="618">
        <f>Kalkulator!F51</f>
        <v>5787.920192317456</v>
      </c>
      <c r="I27" s="618"/>
      <c r="J27" s="618"/>
    </row>
    <row r="28" spans="3:12">
      <c r="C28" s="37"/>
      <c r="D28" s="37" t="s">
        <v>61</v>
      </c>
      <c r="E28" s="36"/>
      <c r="F28" s="36"/>
      <c r="G28" s="36"/>
      <c r="H28" s="607">
        <f>Kalkulator!F57+Kalkulator!F56</f>
        <v>176</v>
      </c>
      <c r="I28" s="607"/>
      <c r="J28" s="607"/>
    </row>
    <row r="29" spans="3:12" ht="7.5" customHeight="1">
      <c r="C29" s="37"/>
      <c r="D29" s="37"/>
      <c r="E29" s="36"/>
      <c r="F29" s="36"/>
      <c r="G29" s="36"/>
      <c r="H29" s="41"/>
      <c r="I29" s="41"/>
      <c r="J29" s="41"/>
    </row>
    <row r="30" spans="3:12" ht="15.75" thickBot="1">
      <c r="C30" s="37"/>
      <c r="D30" s="36" t="s">
        <v>18</v>
      </c>
      <c r="E30" s="37"/>
      <c r="F30" s="37"/>
      <c r="G30" s="37"/>
      <c r="H30" s="600"/>
      <c r="I30" s="600"/>
      <c r="J30" s="600"/>
      <c r="K30" s="43"/>
    </row>
    <row r="31" spans="3:12" ht="15.75" thickTop="1">
      <c r="D31" s="44" t="s">
        <v>59</v>
      </c>
      <c r="E31" s="45"/>
      <c r="F31" s="45"/>
      <c r="G31" s="45"/>
      <c r="H31" s="616">
        <f>Kalkulator!F54</f>
        <v>2500</v>
      </c>
      <c r="I31" s="616"/>
      <c r="J31" s="617"/>
    </row>
    <row r="32" spans="3:12">
      <c r="D32" s="42" t="str">
        <f>IF(Kalkulator!C27&gt;6,"","VAT:")</f>
        <v>VAT:</v>
      </c>
      <c r="E32" s="36"/>
      <c r="F32" s="36"/>
      <c r="G32" s="36"/>
      <c r="H32" s="608">
        <f>IF(Kalkulator!C27&gt;6, "", 'PDV tabela'!F15)</f>
        <v>5787.920192317456</v>
      </c>
      <c r="I32" s="609"/>
      <c r="J32" s="610"/>
    </row>
    <row r="33" spans="1:13" ht="15.75" thickBot="1">
      <c r="D33" s="42" t="s">
        <v>61</v>
      </c>
      <c r="E33" s="36"/>
      <c r="F33" s="36"/>
      <c r="G33" s="36"/>
      <c r="H33" s="608">
        <f>Kalkulator!F56+Kalkulator!F57</f>
        <v>176</v>
      </c>
      <c r="I33" s="608"/>
      <c r="J33" s="611"/>
    </row>
    <row r="34" spans="1:13" ht="16.5" thickTop="1" thickBot="1">
      <c r="D34" s="39" t="s">
        <v>41</v>
      </c>
      <c r="E34" s="40"/>
      <c r="F34" s="40"/>
      <c r="G34" s="40"/>
      <c r="H34" s="605">
        <f>SUM(H31:H33)</f>
        <v>8463.9201923174551</v>
      </c>
      <c r="I34" s="605"/>
      <c r="J34" s="606"/>
    </row>
    <row r="35" spans="1:13" ht="7.5" customHeight="1" thickTop="1">
      <c r="C35" s="37"/>
      <c r="D35" s="601" t="e">
        <f>IF(Kalkulator!#REF!="Fizičko lice", "Troškovi kreditnog biroa:", "")</f>
        <v>#REF!</v>
      </c>
      <c r="E35" s="36"/>
      <c r="F35" s="36"/>
      <c r="G35" s="36"/>
      <c r="H35" s="621" t="e">
        <f>IF(Kalkulator!#REF!="Fizičko lice", "236,00 din", "")</f>
        <v>#REF!</v>
      </c>
      <c r="I35" s="621"/>
      <c r="J35" s="621"/>
    </row>
    <row r="36" spans="1:13" ht="15" hidden="1" customHeight="1">
      <c r="C36" s="37"/>
      <c r="D36" s="602"/>
      <c r="E36" s="37"/>
      <c r="F36" s="37"/>
      <c r="G36" s="37"/>
      <c r="H36" s="622"/>
      <c r="I36" s="622"/>
      <c r="J36" s="622"/>
    </row>
    <row r="37" spans="1:13" ht="15" hidden="1" customHeight="1">
      <c r="C37" s="51" t="s">
        <v>19</v>
      </c>
      <c r="D37" s="602"/>
      <c r="E37" s="46"/>
      <c r="F37" s="46"/>
      <c r="G37" s="46"/>
      <c r="H37" s="622"/>
      <c r="I37" s="622"/>
      <c r="J37" s="622"/>
    </row>
    <row r="38" spans="1:13" ht="7.5" customHeight="1">
      <c r="C38" s="37"/>
      <c r="D38" s="602"/>
      <c r="E38" s="47"/>
      <c r="F38" s="47"/>
      <c r="G38" s="47"/>
      <c r="H38" s="622"/>
      <c r="I38" s="622"/>
      <c r="J38" s="622"/>
    </row>
    <row r="39" spans="1:13">
      <c r="C39" s="37"/>
      <c r="D39" s="37" t="s">
        <v>21</v>
      </c>
      <c r="E39" s="37"/>
      <c r="F39" s="37"/>
      <c r="G39" s="37"/>
      <c r="H39" s="620">
        <f>Kalkulator!F63</f>
        <v>6.54E-2</v>
      </c>
      <c r="I39" s="600"/>
      <c r="J39" s="600"/>
    </row>
    <row r="40" spans="1:13">
      <c r="C40" s="37"/>
      <c r="D40" s="37" t="s">
        <v>48</v>
      </c>
      <c r="E40" s="37"/>
      <c r="F40" s="37"/>
      <c r="G40" s="37"/>
      <c r="H40" s="620">
        <f>Kalkulator!F64</f>
        <v>8.7156055676248734E-2</v>
      </c>
      <c r="I40" s="600"/>
      <c r="J40" s="600"/>
    </row>
    <row r="41" spans="1:13" ht="7.5" customHeight="1">
      <c r="H41" s="603"/>
      <c r="I41" s="603"/>
      <c r="J41" s="603"/>
    </row>
    <row r="42" spans="1:13" ht="200.25" customHeight="1">
      <c r="A42" s="591" t="s">
        <v>60</v>
      </c>
      <c r="B42" s="591"/>
      <c r="C42" s="591"/>
      <c r="D42" s="591"/>
      <c r="E42" s="591"/>
      <c r="F42" s="591"/>
      <c r="G42" s="591"/>
      <c r="H42" s="591"/>
      <c r="I42" s="591"/>
      <c r="J42" s="591"/>
      <c r="K42" s="591"/>
      <c r="L42" s="591"/>
      <c r="M42" s="591"/>
    </row>
    <row r="43" spans="1:13" ht="57" customHeight="1" thickBot="1">
      <c r="A43" s="592"/>
      <c r="B43" s="592"/>
      <c r="C43" s="592"/>
      <c r="D43" s="592"/>
      <c r="E43" s="592"/>
      <c r="F43" s="592"/>
      <c r="G43" s="592"/>
      <c r="H43" s="592"/>
      <c r="I43" s="592"/>
      <c r="J43" s="592"/>
      <c r="K43" s="592"/>
      <c r="L43" s="592"/>
      <c r="M43" s="592"/>
    </row>
    <row r="44" spans="1:13" ht="15" customHeight="1">
      <c r="A44" s="593" t="s">
        <v>47</v>
      </c>
      <c r="B44" s="593"/>
      <c r="C44" s="593"/>
      <c r="D44" s="593"/>
      <c r="E44" s="593"/>
      <c r="F44" s="593"/>
      <c r="G44" s="593"/>
      <c r="H44" s="593"/>
      <c r="I44" s="593"/>
      <c r="J44" s="593"/>
      <c r="K44" s="593"/>
      <c r="L44" s="593"/>
      <c r="M44" s="593"/>
    </row>
    <row r="45" spans="1:13" ht="15" customHeight="1"/>
    <row r="46" spans="1:13" ht="13.5" customHeight="1"/>
    <row r="47" spans="1:13" ht="18" customHeight="1"/>
    <row r="48" spans="1:13"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sheetData>
  <sheetProtection password="C726" sheet="1" objects="1" scenarios="1" selectLockedCells="1"/>
  <mergeCells count="35">
    <mergeCell ref="L5:M5"/>
    <mergeCell ref="H39:J39"/>
    <mergeCell ref="H40:J40"/>
    <mergeCell ref="H35:J38"/>
    <mergeCell ref="E7:J7"/>
    <mergeCell ref="E8:J8"/>
    <mergeCell ref="D9:J9"/>
    <mergeCell ref="H12:J12"/>
    <mergeCell ref="H23:J23"/>
    <mergeCell ref="D4:H4"/>
    <mergeCell ref="H34:J34"/>
    <mergeCell ref="H28:J28"/>
    <mergeCell ref="H30:J30"/>
    <mergeCell ref="H32:J32"/>
    <mergeCell ref="H33:J33"/>
    <mergeCell ref="H20:J20"/>
    <mergeCell ref="H21:J21"/>
    <mergeCell ref="H22:J22"/>
    <mergeCell ref="H16:J16"/>
    <mergeCell ref="H24:J24"/>
    <mergeCell ref="H31:J31"/>
    <mergeCell ref="H25:J25"/>
    <mergeCell ref="H26:J26"/>
    <mergeCell ref="H27:J27"/>
    <mergeCell ref="A42:M43"/>
    <mergeCell ref="A44:M44"/>
    <mergeCell ref="H10:J10"/>
    <mergeCell ref="H11:J11"/>
    <mergeCell ref="H15:J15"/>
    <mergeCell ref="H14:J14"/>
    <mergeCell ref="H17:J17"/>
    <mergeCell ref="H18:J18"/>
    <mergeCell ref="H19:J19"/>
    <mergeCell ref="D35:D38"/>
    <mergeCell ref="H41:J41"/>
  </mergeCells>
  <phoneticPr fontId="2" type="noConversion"/>
  <pageMargins left="0.39370078740157483" right="0.39370078740157483" top="0.19685039370078741" bottom="0.19685039370078741" header="0.51181102362204722" footer="0.51181102362204722"/>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sheetPr>
    <tabColor rgb="FFFF0000"/>
    <pageSetUpPr fitToPage="1"/>
  </sheetPr>
  <dimension ref="A1:XFC118"/>
  <sheetViews>
    <sheetView showGridLines="0" topLeftCell="A42" zoomScaleNormal="100" zoomScaleSheetLayoutView="100" workbookViewId="0">
      <selection activeCell="K5" sqref="K5"/>
    </sheetView>
  </sheetViews>
  <sheetFormatPr defaultColWidth="0" defaultRowHeight="15" zeroHeight="1"/>
  <cols>
    <col min="1" max="1" width="6.44140625" style="23" customWidth="1"/>
    <col min="2" max="2" width="5" style="23" customWidth="1"/>
    <col min="3" max="3" width="2.109375" style="23" customWidth="1"/>
    <col min="4" max="4" width="22.88671875" style="23" customWidth="1"/>
    <col min="5" max="5" width="13.109375" style="23" customWidth="1"/>
    <col min="6" max="6" width="6" style="23" bestFit="1" customWidth="1"/>
    <col min="7" max="7" width="2.44140625" style="23" customWidth="1"/>
    <col min="8" max="8" width="7.88671875" style="23" customWidth="1"/>
    <col min="9" max="9" width="0.6640625" style="23" customWidth="1"/>
    <col min="10" max="10" width="23.109375" style="23" customWidth="1"/>
    <col min="11" max="11" width="5.33203125" style="23" customWidth="1"/>
    <col min="12" max="12" width="0.77734375" style="23" customWidth="1"/>
    <col min="13" max="13" width="7" style="23" customWidth="1"/>
    <col min="14" max="14" width="6.77734375" style="23" hidden="1"/>
    <col min="15" max="15" width="26" style="23" hidden="1"/>
    <col min="16" max="41" width="3.5546875" style="23" hidden="1"/>
    <col min="42" max="42" width="8.6640625" style="23" hidden="1"/>
    <col min="43" max="43" width="7.44140625" style="23" hidden="1"/>
    <col min="44" max="16383" width="3.5546875" style="23" hidden="1"/>
    <col min="16384" max="16384" width="1.6640625" style="23" hidden="1"/>
  </cols>
  <sheetData>
    <row r="1" spans="2:13" ht="1.5" customHeight="1"/>
    <row r="2" spans="2:13" ht="8.25" customHeight="1"/>
    <row r="3" spans="2:13" ht="17.25" customHeight="1">
      <c r="I3" s="647" t="s">
        <v>95</v>
      </c>
      <c r="J3" s="647"/>
      <c r="K3" s="647"/>
      <c r="L3" s="644">
        <f>[2]Kalkulator!C5</f>
        <v>41479</v>
      </c>
      <c r="M3" s="644"/>
    </row>
    <row r="4" spans="2:13" ht="18">
      <c r="D4" s="652" t="s">
        <v>0</v>
      </c>
      <c r="E4" s="604"/>
      <c r="F4" s="604"/>
      <c r="G4" s="604"/>
      <c r="H4" s="604"/>
      <c r="I4" s="604"/>
      <c r="J4" s="604"/>
    </row>
    <row r="5" spans="2:13">
      <c r="J5" s="24"/>
    </row>
    <row r="6" spans="2:13" ht="7.5" customHeight="1" thickBot="1">
      <c r="D6" s="26"/>
      <c r="E6" s="26"/>
      <c r="F6" s="26"/>
      <c r="G6" s="26"/>
      <c r="H6" s="26"/>
      <c r="I6" s="26"/>
      <c r="J6" s="26"/>
      <c r="K6" s="26"/>
      <c r="L6" s="26"/>
    </row>
    <row r="7" spans="2:13" ht="15.75" thickBot="1">
      <c r="D7" s="281" t="s">
        <v>64</v>
      </c>
      <c r="E7" s="656" t="str">
        <f>Kalkulator!$C$7</f>
        <v>Greentech</v>
      </c>
      <c r="F7" s="657"/>
      <c r="G7" s="657"/>
      <c r="H7" s="657"/>
      <c r="I7" s="657"/>
      <c r="J7" s="658"/>
      <c r="K7" s="135"/>
      <c r="L7" s="27"/>
    </row>
    <row r="8" spans="2:13" ht="16.5" customHeight="1" thickBot="1">
      <c r="D8" s="281" t="s">
        <v>1</v>
      </c>
      <c r="E8" s="656" t="str">
        <f>Kalkulator!$C$9</f>
        <v>Viljuskar</v>
      </c>
      <c r="F8" s="657"/>
      <c r="G8" s="657"/>
      <c r="H8" s="657"/>
      <c r="I8" s="657"/>
      <c r="J8" s="658"/>
      <c r="K8" s="27"/>
      <c r="L8" s="27"/>
    </row>
    <row r="9" spans="2:13" ht="18.75" customHeight="1" thickBot="1">
      <c r="C9" s="625"/>
      <c r="D9" s="626"/>
      <c r="E9" s="626"/>
      <c r="F9" s="626"/>
      <c r="G9" s="626"/>
      <c r="H9" s="626"/>
      <c r="I9" s="626"/>
      <c r="J9" s="626"/>
      <c r="K9" s="626"/>
      <c r="L9" s="29"/>
    </row>
    <row r="10" spans="2:13" ht="18" customHeight="1" thickBot="1">
      <c r="D10" s="274" t="str">
        <f>IF('[2]USLOVI AKCIJE I KRATKO UPUTSVO'!B5=2,  "Nabavna cena", "Bruto nabavna cena:")</f>
        <v>Bruto nabavna cena:</v>
      </c>
      <c r="E10" s="280"/>
      <c r="F10" s="280"/>
      <c r="G10" s="280"/>
      <c r="H10" s="629">
        <f>Ponuda1M!$H$10</f>
        <v>30000</v>
      </c>
      <c r="I10" s="630"/>
      <c r="J10" s="631"/>
      <c r="K10" s="310"/>
      <c r="L10" s="31"/>
    </row>
    <row r="11" spans="2:13" hidden="1">
      <c r="C11" s="309"/>
      <c r="D11" s="27" t="s">
        <v>3</v>
      </c>
      <c r="E11" s="27"/>
      <c r="F11" s="27"/>
      <c r="G11" s="27"/>
      <c r="H11" s="596">
        <f>H10/1.18</f>
        <v>25423.728813559323</v>
      </c>
      <c r="I11" s="596"/>
      <c r="J11" s="596"/>
      <c r="K11" s="310"/>
      <c r="L11" s="31"/>
    </row>
    <row r="12" spans="2:13" ht="17.25" customHeight="1">
      <c r="C12" s="309"/>
      <c r="D12" s="3" t="str">
        <f>IF('[2]USLOVI AKCIJE I KRATKO UPUTSVO'!B5=2, "", "Neto nabavna cena:")</f>
        <v>Neto nabavna cena:</v>
      </c>
      <c r="E12" s="5"/>
      <c r="F12" s="279"/>
      <c r="G12" s="5"/>
      <c r="H12" s="651">
        <f>Ponuda1M!$H$12</f>
        <v>25000</v>
      </c>
      <c r="I12" s="651"/>
      <c r="J12" s="651"/>
      <c r="K12" s="310"/>
      <c r="L12" s="31"/>
    </row>
    <row r="13" spans="2:13" ht="2.25" hidden="1" customHeight="1">
      <c r="C13" s="309"/>
      <c r="D13" s="5" t="e">
        <f>[2]Kalkulator!#REF!</f>
        <v>#REF!</v>
      </c>
      <c r="E13" s="5"/>
      <c r="F13" s="279"/>
      <c r="G13" s="5"/>
      <c r="H13" s="278"/>
      <c r="I13" s="278"/>
      <c r="J13" s="278"/>
      <c r="L13" s="31"/>
    </row>
    <row r="14" spans="2:13" ht="15.75" customHeight="1">
      <c r="B14" s="27"/>
      <c r="C14" s="309"/>
      <c r="D14" s="3" t="str">
        <f>IF('[2]USLOVI AKCIJE I KRATKO UPUTSVO'!B5=2, "", "PDV na neto nabavnu cenu:")</f>
        <v>PDV na neto nabavnu cenu:</v>
      </c>
      <c r="E14" s="306"/>
      <c r="F14" s="306"/>
      <c r="G14" s="306"/>
      <c r="H14" s="651">
        <f>Ponuda1M!$H$14</f>
        <v>5000</v>
      </c>
      <c r="I14" s="651"/>
      <c r="J14" s="651"/>
      <c r="L14" s="31"/>
    </row>
    <row r="15" spans="2:13" ht="17.25" customHeight="1">
      <c r="C15" s="309"/>
      <c r="D15" s="306" t="str">
        <f>IF('[2]USLOVI AKCIJE I KRATKO UPUTSVO'!B5=2, "Učešće:", "Učešće (od neto nabavne cene):")</f>
        <v>Učešće (od neto nabavne cene):</v>
      </c>
      <c r="E15" s="314" t="s">
        <v>17</v>
      </c>
      <c r="F15" s="277">
        <f>Ponuda1M!$F$15</f>
        <v>0.1</v>
      </c>
      <c r="G15" s="314" t="s">
        <v>16</v>
      </c>
      <c r="H15" s="651">
        <f>Ponuda1M!$H$15</f>
        <v>2500</v>
      </c>
      <c r="I15" s="651"/>
      <c r="J15" s="651"/>
      <c r="L15" s="31"/>
    </row>
    <row r="16" spans="2:13" ht="15.75" customHeight="1" thickBot="1">
      <c r="D16" s="3" t="str">
        <f>IF('[2]USLOVI AKCIJE I KRATKO UPUTSVO'!B5=2, "", "Učešće (od bruto nabavne cene):")</f>
        <v>Učešće (od bruto nabavne cene):</v>
      </c>
      <c r="E16" s="314" t="s">
        <v>17</v>
      </c>
      <c r="F16" s="277">
        <f>Ponuda1M!$F$16</f>
        <v>0.25</v>
      </c>
      <c r="G16" s="314" t="s">
        <v>16</v>
      </c>
      <c r="H16" s="635">
        <f>Ponuda1M!$H$16</f>
        <v>7500</v>
      </c>
      <c r="I16" s="635"/>
      <c r="J16" s="635"/>
    </row>
    <row r="17" spans="3:12" ht="15.75" hidden="1" customHeight="1">
      <c r="C17" s="309"/>
      <c r="D17" s="309" t="s">
        <v>2</v>
      </c>
      <c r="E17" s="26"/>
      <c r="F17" s="26"/>
      <c r="G17" s="26"/>
      <c r="H17" s="598">
        <f>[2]Kalkulator!F40</f>
        <v>2323.3736258951976</v>
      </c>
      <c r="I17" s="598"/>
      <c r="J17" s="598"/>
    </row>
    <row r="18" spans="3:12" ht="15.75" hidden="1" customHeight="1">
      <c r="C18" s="309"/>
      <c r="D18" s="26" t="s">
        <v>4</v>
      </c>
      <c r="E18" s="309"/>
      <c r="F18" s="309"/>
      <c r="G18" s="309"/>
      <c r="H18" s="598">
        <f>H20*[2]Kalkulator!C25</f>
        <v>86323.373625895198</v>
      </c>
      <c r="I18" s="598"/>
      <c r="J18" s="598"/>
    </row>
    <row r="19" spans="3:12" ht="15.75" hidden="1" customHeight="1" thickBot="1">
      <c r="C19" s="309"/>
      <c r="D19" s="309"/>
      <c r="E19" s="26"/>
      <c r="F19" s="26"/>
      <c r="G19" s="26"/>
      <c r="H19" s="600"/>
      <c r="I19" s="600"/>
      <c r="J19" s="600"/>
      <c r="L19" s="307"/>
    </row>
    <row r="20" spans="3:12" ht="15.75" hidden="1" customHeight="1" thickTop="1" thickBot="1">
      <c r="D20" s="276" t="s">
        <v>234</v>
      </c>
      <c r="E20" s="275"/>
      <c r="F20" s="275"/>
      <c r="G20" s="275"/>
      <c r="H20" s="632">
        <f>[2]Kalkulator!F43</f>
        <v>8632.3373625895201</v>
      </c>
      <c r="I20" s="632"/>
      <c r="J20" s="633"/>
      <c r="K20" s="310"/>
      <c r="L20" s="31"/>
    </row>
    <row r="21" spans="3:12" ht="15.75" customHeight="1" thickBot="1">
      <c r="D21" s="274" t="s">
        <v>235</v>
      </c>
      <c r="E21" s="267"/>
      <c r="F21" s="267"/>
      <c r="G21" s="267"/>
      <c r="H21" s="653">
        <f>Kalkulator!$F$95</f>
        <v>2674.1596194747062</v>
      </c>
      <c r="I21" s="654"/>
      <c r="J21" s="655"/>
      <c r="K21" s="310"/>
      <c r="L21" s="31"/>
    </row>
    <row r="22" spans="3:12" ht="2.25" customHeight="1">
      <c r="C22" s="309"/>
      <c r="D22" s="313"/>
      <c r="E22" s="273"/>
      <c r="F22" s="273"/>
      <c r="G22" s="273"/>
      <c r="H22" s="634"/>
      <c r="I22" s="634"/>
      <c r="J22" s="634"/>
      <c r="K22" s="310"/>
      <c r="L22" s="31"/>
    </row>
    <row r="23" spans="3:12" ht="18" customHeight="1">
      <c r="C23" s="309"/>
      <c r="D23" s="3" t="s">
        <v>223</v>
      </c>
      <c r="E23" s="308"/>
      <c r="F23" s="308"/>
      <c r="G23" s="308"/>
      <c r="H23" s="628">
        <f>Kalkulator!$F$94</f>
        <v>10</v>
      </c>
      <c r="I23" s="628"/>
      <c r="J23" s="628"/>
      <c r="K23" s="310"/>
      <c r="L23" s="31"/>
    </row>
    <row r="24" spans="3:12" ht="18" customHeight="1">
      <c r="C24" s="309"/>
      <c r="D24" s="3" t="s">
        <v>233</v>
      </c>
      <c r="E24" s="308"/>
      <c r="F24" s="308"/>
      <c r="G24" s="308"/>
      <c r="H24" s="308"/>
      <c r="I24" s="308"/>
      <c r="J24" s="308">
        <f>IF(Pricing!B7=1,H23*3,H23*6)</f>
        <v>60</v>
      </c>
      <c r="K24" s="310"/>
      <c r="L24" s="31"/>
    </row>
    <row r="25" spans="3:12">
      <c r="C25" s="309"/>
      <c r="D25" s="3" t="s">
        <v>7</v>
      </c>
      <c r="E25" s="3"/>
      <c r="F25" s="3"/>
      <c r="G25" s="3"/>
      <c r="H25" s="627">
        <f>[2]Kalkulator!C27</f>
        <v>0</v>
      </c>
      <c r="I25" s="628"/>
      <c r="J25" s="628"/>
      <c r="K25" s="310"/>
      <c r="L25" s="31"/>
    </row>
    <row r="26" spans="3:12" hidden="1">
      <c r="C26" s="309"/>
      <c r="D26" s="308" t="s">
        <v>8</v>
      </c>
      <c r="E26" s="3"/>
      <c r="F26" s="3"/>
      <c r="G26" s="3"/>
      <c r="H26" s="635">
        <f>H15-H25</f>
        <v>2500</v>
      </c>
      <c r="I26" s="628"/>
      <c r="J26" s="628"/>
    </row>
    <row r="27" spans="3:12" ht="2.25" customHeight="1">
      <c r="C27" s="309"/>
      <c r="D27" s="308"/>
      <c r="E27" s="308"/>
      <c r="F27" s="308"/>
      <c r="G27" s="308"/>
      <c r="H27" s="628"/>
      <c r="I27" s="628"/>
      <c r="J27" s="628"/>
    </row>
    <row r="28" spans="3:12" ht="17.25" customHeight="1">
      <c r="C28" s="309"/>
      <c r="D28" s="308" t="s">
        <v>65</v>
      </c>
      <c r="E28" s="308"/>
      <c r="F28" s="308"/>
      <c r="G28" s="308"/>
      <c r="H28" s="635">
        <f>H21*H23+Kalkulator!C21*Kalkulator!F35+Kalkulator!C25</f>
        <v>29241.596194747064</v>
      </c>
      <c r="I28" s="628"/>
      <c r="J28" s="628"/>
    </row>
    <row r="29" spans="3:12" ht="17.25" customHeight="1">
      <c r="C29" s="309"/>
      <c r="D29" s="308" t="s">
        <v>232</v>
      </c>
      <c r="E29" s="308"/>
      <c r="F29" s="308"/>
      <c r="G29" s="308"/>
      <c r="H29" s="636">
        <f>H28*0.2</f>
        <v>5848.3192389494134</v>
      </c>
      <c r="I29" s="636"/>
      <c r="J29" s="636"/>
    </row>
    <row r="30" spans="3:12" ht="16.5" customHeight="1">
      <c r="C30" s="309"/>
      <c r="D30" s="308" t="s">
        <v>63</v>
      </c>
      <c r="E30" s="272"/>
      <c r="F30" s="272"/>
      <c r="G30" s="272"/>
      <c r="H30" s="627">
        <f>[2]Kalkulator!F56+[2]Kalkulator!F55</f>
        <v>1466</v>
      </c>
      <c r="I30" s="627"/>
      <c r="J30" s="627"/>
    </row>
    <row r="31" spans="3:12" ht="8.25" customHeight="1" thickBot="1">
      <c r="C31" s="309"/>
      <c r="D31" s="309"/>
      <c r="E31" s="312"/>
      <c r="F31" s="312"/>
      <c r="G31" s="312"/>
      <c r="H31" s="311"/>
      <c r="I31" s="311"/>
      <c r="J31" s="311"/>
    </row>
    <row r="32" spans="3:12" ht="18.75" customHeight="1" thickBot="1">
      <c r="C32" s="309"/>
      <c r="D32" s="271" t="s">
        <v>9</v>
      </c>
      <c r="E32" s="313"/>
      <c r="F32" s="313"/>
      <c r="G32" s="313"/>
      <c r="H32" s="634"/>
      <c r="I32" s="634"/>
      <c r="J32" s="634"/>
      <c r="K32" s="43"/>
    </row>
    <row r="33" spans="1:15" ht="18" customHeight="1" thickTop="1">
      <c r="D33" s="269" t="s">
        <v>62</v>
      </c>
      <c r="E33" s="270"/>
      <c r="F33" s="270"/>
      <c r="G33" s="270"/>
      <c r="H33" s="649">
        <f t="shared" ref="H33" si="0">$H$15</f>
        <v>2500</v>
      </c>
      <c r="I33" s="649"/>
      <c r="J33" s="650"/>
    </row>
    <row r="34" spans="1:15" ht="15.75" customHeight="1">
      <c r="D34" s="269" t="str">
        <f>IF([2]Kalkulator!C31=0,(IF([2]Kalkulator!C29=1, "Ukupni PDV:", "I rata PDV-a:")), "")</f>
        <v>Ukupni PDV:</v>
      </c>
      <c r="E34" s="313"/>
      <c r="F34" s="313"/>
      <c r="G34" s="313"/>
      <c r="H34" s="640" t="str">
        <f>IF(Kalkulator!C29=0,(IF(Kalkulator!C27=1, H29, 'PDV tabela'!F15)), "")</f>
        <v/>
      </c>
      <c r="I34" s="634"/>
      <c r="J34" s="648"/>
    </row>
    <row r="35" spans="1:15" ht="16.5" customHeight="1">
      <c r="D35" s="269" t="s">
        <v>231</v>
      </c>
      <c r="E35" s="313"/>
      <c r="F35" s="313"/>
      <c r="G35" s="313"/>
      <c r="H35" s="638">
        <f>Kalkulator!$F$57</f>
        <v>150</v>
      </c>
      <c r="I35" s="638"/>
      <c r="J35" s="639"/>
    </row>
    <row r="36" spans="1:15" ht="17.25" customHeight="1" thickBot="1">
      <c r="D36" s="269" t="s">
        <v>230</v>
      </c>
      <c r="E36" s="313"/>
      <c r="F36" s="313"/>
      <c r="G36" s="313"/>
      <c r="H36" s="640">
        <f>Ponuda1M!$H$41*1.2</f>
        <v>26</v>
      </c>
      <c r="I36" s="640"/>
      <c r="J36" s="641"/>
    </row>
    <row r="37" spans="1:15" ht="18.75" customHeight="1" thickBot="1">
      <c r="D37" s="268" t="s">
        <v>10</v>
      </c>
      <c r="E37" s="267"/>
      <c r="F37" s="267"/>
      <c r="G37" s="267"/>
      <c r="H37" s="629">
        <f>SUM(H33:H36)</f>
        <v>2676</v>
      </c>
      <c r="I37" s="630"/>
      <c r="J37" s="631"/>
      <c r="O37" s="129">
        <f>H29+(H29*H43*Kalkulator!C29/360)*1.2</f>
        <v>5924.8152545948715</v>
      </c>
    </row>
    <row r="38" spans="1:15" ht="7.5" hidden="1" customHeight="1" thickTop="1">
      <c r="C38" s="309"/>
      <c r="D38" s="602"/>
      <c r="E38" s="312"/>
      <c r="F38" s="312"/>
      <c r="G38" s="312"/>
      <c r="H38" s="622"/>
      <c r="I38" s="622"/>
      <c r="J38" s="622"/>
    </row>
    <row r="39" spans="1:15" ht="15" hidden="1" customHeight="1">
      <c r="C39" s="309"/>
      <c r="D39" s="602"/>
      <c r="E39" s="309"/>
      <c r="F39" s="309"/>
      <c r="G39" s="309"/>
      <c r="H39" s="622"/>
      <c r="I39" s="622"/>
      <c r="J39" s="622"/>
    </row>
    <row r="40" spans="1:15" ht="15" hidden="1" customHeight="1">
      <c r="C40" s="51" t="s">
        <v>19</v>
      </c>
      <c r="D40" s="602"/>
      <c r="E40" s="46"/>
      <c r="F40" s="46"/>
      <c r="G40" s="46"/>
      <c r="H40" s="622"/>
      <c r="I40" s="622"/>
      <c r="J40" s="622"/>
    </row>
    <row r="41" spans="1:15" ht="7.5" hidden="1" customHeight="1" thickTop="1">
      <c r="C41" s="309"/>
      <c r="D41" s="602"/>
      <c r="E41" s="47"/>
      <c r="F41" s="47"/>
      <c r="G41" s="47"/>
      <c r="H41" s="622"/>
      <c r="I41" s="622"/>
      <c r="J41" s="622"/>
    </row>
    <row r="42" spans="1:15" ht="18" customHeight="1" thickBot="1">
      <c r="C42" s="309"/>
      <c r="D42" s="282" t="str">
        <f>IF(Kalkulator!C29&lt;&gt;0, "PDV nakon odlaganja do povraćaja:", "")</f>
        <v>PDV nakon odlaganja do povraćaja:</v>
      </c>
      <c r="E42" s="266"/>
      <c r="F42" s="266"/>
      <c r="G42" s="266"/>
      <c r="H42" s="645">
        <f>IF(Kalkulator!C29&lt;&gt;0,O37,"")</f>
        <v>5924.8152545948715</v>
      </c>
      <c r="I42" s="645"/>
      <c r="J42" s="646"/>
    </row>
    <row r="43" spans="1:15" ht="17.25" customHeight="1">
      <c r="A43" s="306"/>
      <c r="B43" s="306"/>
      <c r="C43" s="308"/>
      <c r="D43" s="313" t="s">
        <v>11</v>
      </c>
      <c r="E43" s="313"/>
      <c r="F43" s="313"/>
      <c r="G43" s="313"/>
      <c r="H43" s="637">
        <f>Kalkulator!$K$8</f>
        <v>6.54E-2</v>
      </c>
      <c r="I43" s="634"/>
      <c r="J43" s="634"/>
      <c r="K43" s="306"/>
      <c r="L43" s="306"/>
      <c r="M43" s="306"/>
    </row>
    <row r="44" spans="1:15" ht="18" hidden="1" customHeight="1">
      <c r="A44" s="643" t="s">
        <v>229</v>
      </c>
      <c r="B44" s="643"/>
      <c r="C44" s="643"/>
      <c r="D44" s="643"/>
      <c r="E44" s="643"/>
      <c r="F44" s="643"/>
      <c r="G44" s="643"/>
      <c r="H44" s="643"/>
      <c r="I44" s="643"/>
      <c r="J44" s="643"/>
      <c r="K44" s="643"/>
      <c r="L44" s="643"/>
      <c r="M44" s="643"/>
    </row>
    <row r="45" spans="1:15" ht="18" customHeight="1">
      <c r="A45" s="306"/>
      <c r="B45" s="306"/>
      <c r="C45" s="308"/>
      <c r="D45" s="313" t="s">
        <v>12</v>
      </c>
      <c r="E45" s="313"/>
      <c r="F45" s="313"/>
      <c r="G45" s="313"/>
      <c r="H45" s="637">
        <f>Ponuda1M!$H$51</f>
        <v>8.7156055676248734E-2</v>
      </c>
      <c r="I45" s="637"/>
      <c r="J45" s="637"/>
      <c r="K45" s="306"/>
      <c r="L45" s="306"/>
      <c r="M45" s="306"/>
    </row>
    <row r="46" spans="1:15" hidden="1">
      <c r="D46" s="127" t="s">
        <v>228</v>
      </c>
      <c r="H46" s="642">
        <f>PONUDA3Mili6M!H20/0.3</f>
        <v>28774.457875298402</v>
      </c>
      <c r="I46" s="642"/>
      <c r="J46" s="642"/>
    </row>
    <row r="47" spans="1:15" s="127" customFormat="1" ht="15.75" thickBot="1">
      <c r="A47" s="219" t="s">
        <v>141</v>
      </c>
      <c r="B47" s="219"/>
      <c r="C47" s="219"/>
      <c r="D47" s="219"/>
      <c r="E47" s="219" t="str">
        <f>Kalkulator!$K$12</f>
        <v>( 3M EURIBOR ) =</v>
      </c>
      <c r="F47" s="220">
        <f>Kalkulator!$K$10</f>
        <v>2.8999999999999998E-3</v>
      </c>
      <c r="G47" s="221" t="s">
        <v>134</v>
      </c>
      <c r="H47" s="220">
        <f>Kalkulator!$K$11</f>
        <v>6.25E-2</v>
      </c>
      <c r="I47" s="222"/>
      <c r="J47" s="222" t="s">
        <v>135</v>
      </c>
      <c r="K47" s="223">
        <f>Kalkulator!$K$8</f>
        <v>6.54E-2</v>
      </c>
      <c r="L47" s="176"/>
      <c r="M47" s="176"/>
    </row>
    <row r="48" spans="1:15" s="571" customFormat="1" ht="286.5" customHeight="1">
      <c r="A48" s="569" t="str">
        <f>IF(Kalkulator!F5=1,Kalkulator!B73,Kalkulator!L73)</f>
        <v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v>
      </c>
      <c r="B48" s="570"/>
      <c r="C48" s="570"/>
      <c r="D48" s="570"/>
      <c r="E48" s="570"/>
      <c r="F48" s="570"/>
      <c r="G48" s="570"/>
      <c r="H48" s="570"/>
      <c r="I48" s="570"/>
      <c r="J48" s="570"/>
      <c r="K48" s="570"/>
      <c r="L48" s="570"/>
      <c r="M48" s="570"/>
    </row>
    <row r="49" spans="1:13" s="571" customFormat="1" ht="96.75" customHeight="1" thickBot="1">
      <c r="A49" s="570"/>
      <c r="B49" s="570"/>
      <c r="C49" s="570"/>
      <c r="D49" s="570"/>
      <c r="E49" s="570"/>
      <c r="F49" s="570"/>
      <c r="G49" s="570"/>
      <c r="H49" s="570"/>
      <c r="I49" s="570"/>
      <c r="J49" s="570"/>
      <c r="K49" s="570"/>
      <c r="L49" s="570"/>
      <c r="M49" s="570"/>
    </row>
    <row r="50" spans="1:13" ht="15.75" hidden="1" thickBot="1"/>
    <row r="51" spans="1:13" ht="15.75" hidden="1" thickBot="1"/>
    <row r="52" spans="1:13" ht="15.75" hidden="1" thickBot="1"/>
    <row r="53" spans="1:13" ht="15.75" hidden="1" thickBot="1"/>
    <row r="54" spans="1:13" ht="15.75" hidden="1" thickBot="1"/>
    <row r="55" spans="1:13" ht="15.75" hidden="1" thickBot="1"/>
    <row r="56" spans="1:13" ht="15.75" hidden="1" thickBot="1"/>
    <row r="57" spans="1:13" ht="15.75" hidden="1" thickBot="1"/>
    <row r="58" spans="1:13" ht="15.75" hidden="1" thickBot="1"/>
    <row r="59" spans="1:13" ht="15.75" hidden="1" thickBot="1"/>
    <row r="60" spans="1:13" ht="15.75" hidden="1" thickBot="1"/>
    <row r="61" spans="1:13" ht="15.75" hidden="1" thickBot="1"/>
    <row r="62" spans="1:13" ht="15.75" hidden="1" thickBot="1"/>
    <row r="63" spans="1:13" ht="15.75" hidden="1" thickBot="1"/>
    <row r="64" spans="1:13" ht="15.75" hidden="1" thickBot="1"/>
    <row r="65" ht="15.75" hidden="1" thickBot="1"/>
    <row r="66" ht="12" hidden="1" customHeight="1"/>
    <row r="67" ht="12" hidden="1" customHeight="1"/>
    <row r="68" ht="12" hidden="1" customHeight="1"/>
    <row r="69" ht="12" hidden="1" customHeight="1"/>
    <row r="70" ht="12" hidden="1" customHeight="1"/>
    <row r="71" ht="12" hidden="1" customHeight="1"/>
    <row r="72" ht="12" hidden="1" customHeight="1"/>
    <row r="73" ht="12" hidden="1" customHeight="1"/>
    <row r="74" ht="12" hidden="1" customHeight="1"/>
    <row r="75" ht="12" hidden="1" customHeight="1"/>
    <row r="76" ht="12" hidden="1" customHeight="1"/>
    <row r="77" ht="12" hidden="1" customHeight="1"/>
    <row r="78" ht="12" hidden="1" customHeight="1"/>
    <row r="79" ht="12" hidden="1" customHeight="1"/>
    <row r="80" ht="12" hidden="1" customHeight="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spans="1:13" ht="12" hidden="1" customHeight="1"/>
    <row r="98" spans="1:13" ht="12" hidden="1" customHeight="1"/>
    <row r="99" spans="1:13" ht="12" hidden="1" customHeight="1"/>
    <row r="100" spans="1:13" ht="12" hidden="1" customHeight="1"/>
    <row r="101" spans="1:13" ht="12" hidden="1" customHeight="1"/>
    <row r="102" spans="1:13" ht="12" hidden="1" customHeight="1"/>
    <row r="103" spans="1:13" ht="12" hidden="1" customHeight="1"/>
    <row r="104" spans="1:13" ht="12" hidden="1" customHeight="1"/>
    <row r="105" spans="1:13" ht="12" hidden="1" customHeight="1"/>
    <row r="106" spans="1:13" ht="12" hidden="1" customHeight="1"/>
    <row r="107" spans="1:13" s="265" customFormat="1" ht="15" customHeight="1" thickBot="1">
      <c r="A107" s="559" t="s">
        <v>227</v>
      </c>
      <c r="B107" s="559"/>
      <c r="C107" s="559"/>
      <c r="D107" s="559"/>
      <c r="E107" s="559"/>
      <c r="F107" s="559"/>
      <c r="G107" s="559"/>
      <c r="H107" s="559"/>
      <c r="I107" s="559"/>
      <c r="J107" s="559"/>
      <c r="K107" s="559"/>
      <c r="L107" s="559"/>
      <c r="M107" s="559"/>
    </row>
    <row r="108" spans="1:13" ht="15" customHeight="1">
      <c r="A108" s="429">
        <f>Kalkulator!$K$9</f>
        <v>5.0000000000000001E-3</v>
      </c>
    </row>
    <row r="109" spans="1:13" ht="13.5" customHeight="1"/>
    <row r="110" spans="1:13" ht="18" customHeight="1"/>
    <row r="111" spans="1:13" hidden="1"/>
    <row r="112" spans="1:13" hidden="1"/>
    <row r="113" hidden="1"/>
    <row r="114" hidden="1"/>
    <row r="115" hidden="1"/>
    <row r="116" hidden="1"/>
    <row r="117" hidden="1"/>
    <row r="118" hidden="1"/>
  </sheetData>
  <sheetProtection password="D200" sheet="1" objects="1" scenarios="1"/>
  <mergeCells count="40">
    <mergeCell ref="L3:M3"/>
    <mergeCell ref="H42:J42"/>
    <mergeCell ref="I3:K3"/>
    <mergeCell ref="H32:J32"/>
    <mergeCell ref="H34:J34"/>
    <mergeCell ref="H26:J26"/>
    <mergeCell ref="H33:J33"/>
    <mergeCell ref="H15:J15"/>
    <mergeCell ref="H17:J17"/>
    <mergeCell ref="H18:J18"/>
    <mergeCell ref="D4:J4"/>
    <mergeCell ref="H12:J12"/>
    <mergeCell ref="H21:J21"/>
    <mergeCell ref="E7:J7"/>
    <mergeCell ref="E8:J8"/>
    <mergeCell ref="H14:J14"/>
    <mergeCell ref="A107:M107"/>
    <mergeCell ref="H28:J28"/>
    <mergeCell ref="H29:J29"/>
    <mergeCell ref="H43:J43"/>
    <mergeCell ref="H35:J35"/>
    <mergeCell ref="D38:D41"/>
    <mergeCell ref="H30:J30"/>
    <mergeCell ref="H36:J36"/>
    <mergeCell ref="A48:XFD49"/>
    <mergeCell ref="H45:J45"/>
    <mergeCell ref="H38:J41"/>
    <mergeCell ref="H37:J37"/>
    <mergeCell ref="H46:J46"/>
    <mergeCell ref="A44:M44"/>
    <mergeCell ref="C9:K9"/>
    <mergeCell ref="H25:J25"/>
    <mergeCell ref="H27:J27"/>
    <mergeCell ref="H10:J10"/>
    <mergeCell ref="H11:J11"/>
    <mergeCell ref="H19:J19"/>
    <mergeCell ref="H20:J20"/>
    <mergeCell ref="H22:J22"/>
    <mergeCell ref="H23:J23"/>
    <mergeCell ref="H16:J16"/>
  </mergeCells>
  <pageMargins left="0.39370078740157483" right="0.39370078740157483" top="0.19685039370078741" bottom="0.19685039370078741" header="0.51181102362204722" footer="0.51181102362204722"/>
  <pageSetup scale="8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sheetPr codeName="Sheet7">
    <tabColor rgb="FF92D050"/>
    <pageSetUpPr fitToPage="1"/>
  </sheetPr>
  <dimension ref="A1:IU125"/>
  <sheetViews>
    <sheetView topLeftCell="B10" zoomScaleNormal="100" workbookViewId="0">
      <selection activeCell="D8" sqref="D8"/>
    </sheetView>
  </sheetViews>
  <sheetFormatPr defaultColWidth="0" defaultRowHeight="15" zeroHeight="1"/>
  <cols>
    <col min="1" max="1" width="0" hidden="1" customWidth="1"/>
    <col min="2" max="2" width="15.77734375" style="1" customWidth="1"/>
    <col min="3" max="3" width="18.21875" style="8" customWidth="1"/>
    <col min="4" max="4" width="15.109375" style="2" customWidth="1"/>
    <col min="5" max="5" width="20.44140625" style="1" customWidth="1"/>
    <col min="6" max="6" width="10.109375" style="1" customWidth="1"/>
    <col min="7" max="7" width="9.21875" style="19" customWidth="1"/>
    <col min="8" max="8" width="0.6640625" customWidth="1"/>
    <col min="9" max="36" width="8.88671875" hidden="1" customWidth="1"/>
    <col min="37" max="255" width="0" hidden="1" customWidth="1"/>
    <col min="256" max="16384" width="1.77734375" hidden="1"/>
  </cols>
  <sheetData>
    <row r="1" spans="2:11"/>
    <row r="2" spans="2:11"/>
    <row r="3" spans="2:11" ht="14.25" customHeight="1" thickBot="1"/>
    <row r="4" spans="2:11">
      <c r="B4" s="665" t="s">
        <v>147</v>
      </c>
      <c r="C4" s="666"/>
      <c r="D4" s="666"/>
      <c r="E4" s="666"/>
      <c r="F4" s="666"/>
      <c r="G4" s="667"/>
      <c r="I4" s="17"/>
      <c r="J4" s="17"/>
    </row>
    <row r="5" spans="2:11" ht="30" customHeight="1">
      <c r="B5" s="668" t="s">
        <v>148</v>
      </c>
      <c r="C5" s="669"/>
      <c r="D5" s="201">
        <f>Kalkulator!C19</f>
        <v>25000</v>
      </c>
      <c r="E5" s="670" t="s">
        <v>149</v>
      </c>
      <c r="F5" s="671"/>
      <c r="G5" s="202">
        <f>IF(Kalkulator!C27&gt;6, Kalkulator!F40+Kalkulator!F51, Kalkulator!F40)</f>
        <v>22500</v>
      </c>
      <c r="H5" s="16"/>
      <c r="I5" s="94">
        <f>J9/12</f>
        <v>5.45E-3</v>
      </c>
      <c r="J5" s="95"/>
      <c r="K5" s="96"/>
    </row>
    <row r="6" spans="2:11" ht="30" customHeight="1">
      <c r="B6" s="668" t="s">
        <v>150</v>
      </c>
      <c r="C6" s="669"/>
      <c r="D6" s="203">
        <f>Kalkulator!C21</f>
        <v>0.1</v>
      </c>
      <c r="E6" s="670" t="s">
        <v>151</v>
      </c>
      <c r="F6" s="671"/>
      <c r="G6" s="204">
        <f>Kalkulator!C23</f>
        <v>60</v>
      </c>
      <c r="H6" s="16"/>
      <c r="I6" s="97">
        <v>1</v>
      </c>
      <c r="J6" s="98"/>
      <c r="K6" s="99"/>
    </row>
    <row r="7" spans="2:11" ht="15" hidden="1" customHeight="1">
      <c r="B7" s="205"/>
      <c r="C7" s="206"/>
      <c r="D7" s="207"/>
      <c r="E7" s="208"/>
      <c r="F7" s="209"/>
      <c r="G7" s="210"/>
      <c r="H7" s="16"/>
      <c r="I7" s="100">
        <f>(G5*J9/12)</f>
        <v>122.625</v>
      </c>
      <c r="J7" s="98"/>
      <c r="K7" s="96"/>
    </row>
    <row r="8" spans="2:11" ht="28.5" customHeight="1">
      <c r="B8" s="211" t="s">
        <v>152</v>
      </c>
      <c r="C8" s="206" t="s">
        <v>153</v>
      </c>
      <c r="D8" s="206" t="s">
        <v>154</v>
      </c>
      <c r="E8" s="212" t="s">
        <v>155</v>
      </c>
      <c r="F8" s="672" t="s">
        <v>156</v>
      </c>
      <c r="G8" s="673"/>
      <c r="I8" s="101"/>
      <c r="J8" s="98"/>
      <c r="K8" s="96"/>
    </row>
    <row r="9" spans="2:11">
      <c r="B9" s="6"/>
      <c r="C9" s="7"/>
      <c r="D9" s="7"/>
      <c r="E9" s="7"/>
      <c r="F9" s="674">
        <f>G5</f>
        <v>22500</v>
      </c>
      <c r="G9" s="675"/>
      <c r="I9" s="102" t="s">
        <v>13</v>
      </c>
      <c r="J9" s="103">
        <f>Kalkulator!K8</f>
        <v>6.54E-2</v>
      </c>
      <c r="K9" s="96"/>
    </row>
    <row r="10" spans="2:11">
      <c r="B10" s="15">
        <v>1</v>
      </c>
      <c r="C10" s="70">
        <f>IF(B10&gt;G6, 0, Kalkulator!F44)</f>
        <v>440.66001602645463</v>
      </c>
      <c r="D10" s="70">
        <f>I7</f>
        <v>122.625</v>
      </c>
      <c r="E10" s="71">
        <f>+C10-D10</f>
        <v>318.03501602645463</v>
      </c>
      <c r="F10" s="663">
        <f>IF(B10&gt;G6, 0,F9-E10)</f>
        <v>22181.964983973547</v>
      </c>
      <c r="G10" s="664"/>
      <c r="I10" s="104" t="s">
        <v>14</v>
      </c>
      <c r="J10" s="105">
        <f>Kalkulator!K9</f>
        <v>5.0000000000000001E-3</v>
      </c>
      <c r="K10" s="96"/>
    </row>
    <row r="11" spans="2:11">
      <c r="B11" s="14">
        <v>2</v>
      </c>
      <c r="C11" s="70">
        <f>IF(B11&gt;G6,0,Kalkulator!F44)</f>
        <v>440.66001602645463</v>
      </c>
      <c r="D11" s="70">
        <f>+F10*I5</f>
        <v>120.89170916265583</v>
      </c>
      <c r="E11" s="71">
        <f t="shared" ref="E11:E73" si="0">+C11-D11</f>
        <v>319.76830686379878</v>
      </c>
      <c r="F11" s="663">
        <f>IF(B11&gt;G6, 0,F10-E11)</f>
        <v>21862.196677109747</v>
      </c>
      <c r="G11" s="664"/>
      <c r="H11" s="18"/>
      <c r="I11" s="106"/>
      <c r="J11" s="106"/>
      <c r="K11" s="99"/>
    </row>
    <row r="12" spans="2:11">
      <c r="B12" s="14">
        <v>3</v>
      </c>
      <c r="C12" s="70">
        <f>IF(B12&gt;G6,0,Kalkulator!F44)</f>
        <v>440.66001602645463</v>
      </c>
      <c r="D12" s="70">
        <f>+F11*I5</f>
        <v>119.14897189024812</v>
      </c>
      <c r="E12" s="71">
        <f>+C12-D12</f>
        <v>321.51104413620652</v>
      </c>
      <c r="F12" s="663">
        <f>IF(B12&gt;G6, 0,F11-E12)</f>
        <v>21540.685632973542</v>
      </c>
      <c r="G12" s="664"/>
      <c r="I12" s="96"/>
      <c r="J12" s="96"/>
      <c r="K12" s="96"/>
    </row>
    <row r="13" spans="2:11">
      <c r="B13" s="14">
        <v>4</v>
      </c>
      <c r="C13" s="70">
        <f>IF(B13&gt;G6,0,Kalkulator!F44)</f>
        <v>440.66001602645463</v>
      </c>
      <c r="D13" s="70">
        <f>+F12*I5</f>
        <v>117.3967366997058</v>
      </c>
      <c r="E13" s="71">
        <f t="shared" si="0"/>
        <v>323.26327932674883</v>
      </c>
      <c r="F13" s="663">
        <f>IF(B13&gt;G6, 0,F12-E13)</f>
        <v>21217.422353646794</v>
      </c>
      <c r="G13" s="664"/>
    </row>
    <row r="14" spans="2:11">
      <c r="B14" s="14">
        <v>5</v>
      </c>
      <c r="C14" s="70">
        <f>IF(B14&gt;G6,0,Kalkulator!F44)</f>
        <v>440.66001602645463</v>
      </c>
      <c r="D14" s="70">
        <f>+F13*I5</f>
        <v>115.63495182737503</v>
      </c>
      <c r="E14" s="71">
        <f t="shared" si="0"/>
        <v>325.02506419907957</v>
      </c>
      <c r="F14" s="663">
        <f>IF(B14&gt;G6, 0,F13-E14)</f>
        <v>20892.397289447716</v>
      </c>
      <c r="G14" s="664"/>
    </row>
    <row r="15" spans="2:11">
      <c r="B15" s="14">
        <v>6</v>
      </c>
      <c r="C15" s="70">
        <f>IF(B15&gt;G6,0,Kalkulator!F44)</f>
        <v>440.66001602645463</v>
      </c>
      <c r="D15" s="70">
        <f>+F14*I5/I6</f>
        <v>113.86356522749006</v>
      </c>
      <c r="E15" s="71">
        <f t="shared" si="0"/>
        <v>326.79645079896454</v>
      </c>
      <c r="F15" s="663">
        <f>IF(B15&gt;G6, 0,F14-E15)</f>
        <v>20565.600838648752</v>
      </c>
      <c r="G15" s="664"/>
    </row>
    <row r="16" spans="2:11">
      <c r="B16" s="14">
        <v>7</v>
      </c>
      <c r="C16" s="70">
        <f>IF(B16&gt;G6,0,Kalkulator!F44)</f>
        <v>440.66001602645463</v>
      </c>
      <c r="D16" s="70">
        <f>+F15*I5/I6</f>
        <v>112.0825245706357</v>
      </c>
      <c r="E16" s="71">
        <f t="shared" si="0"/>
        <v>328.57749145581892</v>
      </c>
      <c r="F16" s="663">
        <f>IF(B16&gt;G6, 0,F15-E16)</f>
        <v>20237.023347192931</v>
      </c>
      <c r="G16" s="664"/>
    </row>
    <row r="17" spans="2:7">
      <c r="B17" s="14">
        <v>8</v>
      </c>
      <c r="C17" s="70">
        <f>IF(B17&gt;G6,0,Kalkulator!F44)</f>
        <v>440.66001602645463</v>
      </c>
      <c r="D17" s="70">
        <f>+F16*I5/I6</f>
        <v>110.29177724220148</v>
      </c>
      <c r="E17" s="71">
        <f t="shared" si="0"/>
        <v>330.36823878425315</v>
      </c>
      <c r="F17" s="663">
        <f>IF(B17&gt;G6, 0,F16-E17)</f>
        <v>19906.655108408679</v>
      </c>
      <c r="G17" s="664"/>
    </row>
    <row r="18" spans="2:7">
      <c r="B18" s="14">
        <v>9</v>
      </c>
      <c r="C18" s="70">
        <f>IF(B18&gt;G6,0,Kalkulator!F44)</f>
        <v>440.66001602645463</v>
      </c>
      <c r="D18" s="70">
        <f>+F17*I5/I6</f>
        <v>108.4912703408273</v>
      </c>
      <c r="E18" s="71">
        <f t="shared" si="0"/>
        <v>332.1687456856273</v>
      </c>
      <c r="F18" s="663">
        <f>IF(B18&gt;G6, 0,F17-E18)</f>
        <v>19574.486362723052</v>
      </c>
      <c r="G18" s="664"/>
    </row>
    <row r="19" spans="2:7">
      <c r="B19" s="14">
        <v>10</v>
      </c>
      <c r="C19" s="70">
        <f>IF(B19&gt;G6,0,Kalkulator!F44)</f>
        <v>440.66001602645463</v>
      </c>
      <c r="D19" s="70">
        <f>+F18*I5/I6</f>
        <v>106.68095067684062</v>
      </c>
      <c r="E19" s="71">
        <f t="shared" si="0"/>
        <v>333.97906534961402</v>
      </c>
      <c r="F19" s="663">
        <f>IF(B19&gt;G6, 0,F18-E19)</f>
        <v>19240.507297373439</v>
      </c>
      <c r="G19" s="664"/>
    </row>
    <row r="20" spans="2:7">
      <c r="B20" s="14">
        <v>11</v>
      </c>
      <c r="C20" s="70">
        <f>IF(B20&gt;G6,0,Kalkulator!F44)</f>
        <v>440.66001602645463</v>
      </c>
      <c r="D20" s="70">
        <f>+F19*I5/I6</f>
        <v>104.86076477068524</v>
      </c>
      <c r="E20" s="71">
        <f t="shared" si="0"/>
        <v>335.79925125576938</v>
      </c>
      <c r="F20" s="663">
        <f>IF(B20&gt;G6, 0,F19-E20)</f>
        <v>18904.70804611767</v>
      </c>
      <c r="G20" s="664"/>
    </row>
    <row r="21" spans="2:7">
      <c r="B21" s="14">
        <v>12</v>
      </c>
      <c r="C21" s="70">
        <f>IF(B21&gt;G6,0,Kalkulator!F44)</f>
        <v>440.66001602645463</v>
      </c>
      <c r="D21" s="70">
        <f>+F20*I5/I6</f>
        <v>103.0306588513413</v>
      </c>
      <c r="E21" s="71">
        <f t="shared" si="0"/>
        <v>337.62935717511334</v>
      </c>
      <c r="F21" s="663">
        <f>IF(B21&gt;G6, 0,F20-E21)</f>
        <v>18567.078688942558</v>
      </c>
      <c r="G21" s="664"/>
    </row>
    <row r="22" spans="2:7">
      <c r="B22" s="14">
        <v>13</v>
      </c>
      <c r="C22" s="70">
        <f>IF(B22&gt;G6,0,Kalkulator!F44)</f>
        <v>440.66001602645463</v>
      </c>
      <c r="D22" s="70">
        <f>+F21*I5/I6</f>
        <v>101.19057885473694</v>
      </c>
      <c r="E22" s="71">
        <f t="shared" si="0"/>
        <v>339.46943717171769</v>
      </c>
      <c r="F22" s="663">
        <f>IF(B22&gt;G6, 0,F21-E22)</f>
        <v>18227.609251770842</v>
      </c>
      <c r="G22" s="664"/>
    </row>
    <row r="23" spans="2:7">
      <c r="B23" s="14">
        <v>14</v>
      </c>
      <c r="C23" s="70">
        <f>IF(B23&gt;G6,0,Kalkulator!F44)</f>
        <v>440.66001602645463</v>
      </c>
      <c r="D23" s="70">
        <f>+F22*I5/I6</f>
        <v>99.340470422151085</v>
      </c>
      <c r="E23" s="71">
        <f t="shared" si="0"/>
        <v>341.31954560430353</v>
      </c>
      <c r="F23" s="663">
        <f>IF(B23&gt;G6, 0,F22-E23)</f>
        <v>17886.289706166539</v>
      </c>
      <c r="G23" s="664"/>
    </row>
    <row r="24" spans="2:7">
      <c r="B24" s="14">
        <v>15</v>
      </c>
      <c r="C24" s="70">
        <f>IF(B24&gt;G6,0,Kalkulator!F44)</f>
        <v>440.66001602645463</v>
      </c>
      <c r="D24" s="70">
        <f>+F23*I5/I6</f>
        <v>97.480278898607637</v>
      </c>
      <c r="E24" s="71">
        <f t="shared" si="0"/>
        <v>343.17973712784698</v>
      </c>
      <c r="F24" s="663">
        <f>IF(B24&gt;G6, 0,F23-E24)</f>
        <v>17543.109969038691</v>
      </c>
      <c r="G24" s="664"/>
    </row>
    <row r="25" spans="2:7">
      <c r="B25" s="14">
        <v>16</v>
      </c>
      <c r="C25" s="70">
        <f>IF(B25&gt;G6,0,Kalkulator!F44)</f>
        <v>440.66001602645463</v>
      </c>
      <c r="D25" s="70">
        <f>+F24*I5/I6</f>
        <v>95.609949331260864</v>
      </c>
      <c r="E25" s="71">
        <f t="shared" si="0"/>
        <v>345.05006669519378</v>
      </c>
      <c r="F25" s="663">
        <f>IF(B25&gt;G6, 0,F24-E25)</f>
        <v>17198.059902343499</v>
      </c>
      <c r="G25" s="664"/>
    </row>
    <row r="26" spans="2:7">
      <c r="B26" s="14">
        <v>17</v>
      </c>
      <c r="C26" s="70">
        <f>IF(B26&gt;G6,0,Kalkulator!F44)</f>
        <v>440.66001602645463</v>
      </c>
      <c r="D26" s="70">
        <f>+F25*I5/I6</f>
        <v>93.729426467772072</v>
      </c>
      <c r="E26" s="71">
        <f t="shared" si="0"/>
        <v>346.93058955868253</v>
      </c>
      <c r="F26" s="663">
        <f>IF(B26&gt;G6, 0,F25-E26)</f>
        <v>16851.129312784815</v>
      </c>
      <c r="G26" s="664"/>
    </row>
    <row r="27" spans="2:7">
      <c r="B27" s="14">
        <v>18</v>
      </c>
      <c r="C27" s="70">
        <f>IF(B27&gt;G6,0,Kalkulator!F44)</f>
        <v>440.66001602645463</v>
      </c>
      <c r="D27" s="70">
        <f>+F26*I5/I6</f>
        <v>91.838654754677236</v>
      </c>
      <c r="E27" s="71">
        <f t="shared" si="0"/>
        <v>348.82136127177739</v>
      </c>
      <c r="F27" s="663">
        <f>IF(B27&gt;G6, 0,F26-E27)</f>
        <v>16502.307951513038</v>
      </c>
      <c r="G27" s="664"/>
    </row>
    <row r="28" spans="2:7">
      <c r="B28" s="14">
        <v>19</v>
      </c>
      <c r="C28" s="70">
        <f>IF(B28&gt;G6,0,Kalkulator!F44)</f>
        <v>440.66001602645463</v>
      </c>
      <c r="D28" s="70">
        <f>+F27*I5/I6</f>
        <v>89.937578335746053</v>
      </c>
      <c r="E28" s="71">
        <f t="shared" si="0"/>
        <v>350.7224376907086</v>
      </c>
      <c r="F28" s="663">
        <f>IF(B28&gt;G6, 0,F27-E28)</f>
        <v>16151.585513822329</v>
      </c>
      <c r="G28" s="664"/>
    </row>
    <row r="29" spans="2:7">
      <c r="B29" s="14">
        <v>20</v>
      </c>
      <c r="C29" s="70">
        <f>IF(B29&gt;G6,0,Kalkulator!F44)</f>
        <v>440.66001602645463</v>
      </c>
      <c r="D29" s="70">
        <f>+F28*I5/I6</f>
        <v>88.026141050331688</v>
      </c>
      <c r="E29" s="71">
        <f t="shared" si="0"/>
        <v>352.63387497612291</v>
      </c>
      <c r="F29" s="663">
        <f>IF(B29&gt;G6, 0,F28-E29)</f>
        <v>15798.951638846205</v>
      </c>
      <c r="G29" s="664"/>
    </row>
    <row r="30" spans="2:7">
      <c r="B30" s="14">
        <v>21</v>
      </c>
      <c r="C30" s="70">
        <f>IF(B30&gt;G6,0,Kalkulator!F44)</f>
        <v>440.66001602645463</v>
      </c>
      <c r="D30" s="70">
        <f>+F29*I5/I6</f>
        <v>86.104286431711813</v>
      </c>
      <c r="E30" s="71">
        <f t="shared" si="0"/>
        <v>354.55572959474284</v>
      </c>
      <c r="F30" s="663">
        <f>IF(B30&gt;G6, 0,F29-E30)</f>
        <v>15444.395909251463</v>
      </c>
      <c r="G30" s="664"/>
    </row>
    <row r="31" spans="2:7">
      <c r="B31" s="14">
        <v>22</v>
      </c>
      <c r="C31" s="70">
        <f>IF(B31&gt;G6,0,Kalkulator!F44)</f>
        <v>440.66001602645463</v>
      </c>
      <c r="D31" s="70">
        <f>+F30*I5/I6</f>
        <v>84.171957705420468</v>
      </c>
      <c r="E31" s="71">
        <f t="shared" si="0"/>
        <v>356.48805832103415</v>
      </c>
      <c r="F31" s="663">
        <f>IF(B31&gt;G6, 0,F30-E31)</f>
        <v>15087.907850930429</v>
      </c>
      <c r="G31" s="664"/>
    </row>
    <row r="32" spans="2:7">
      <c r="B32" s="14">
        <v>23</v>
      </c>
      <c r="C32" s="70">
        <f>IF(B32&gt;G6,0,Kalkulator!F44)</f>
        <v>440.66001602645463</v>
      </c>
      <c r="D32" s="70">
        <f>+F31*I5/I6</f>
        <v>82.229097787570836</v>
      </c>
      <c r="E32" s="71">
        <f t="shared" si="0"/>
        <v>358.43091823888381</v>
      </c>
      <c r="F32" s="663">
        <f>IF(B32&gt;G6, 0,F31-E32)</f>
        <v>14729.476932691545</v>
      </c>
      <c r="G32" s="664"/>
    </row>
    <row r="33" spans="2:7">
      <c r="B33" s="14">
        <v>24</v>
      </c>
      <c r="C33" s="70">
        <f>IF(B33&gt;G6,0,Kalkulator!F44)</f>
        <v>440.66001602645463</v>
      </c>
      <c r="D33" s="70">
        <f>+F32*I5/I6</f>
        <v>80.275649283168917</v>
      </c>
      <c r="E33" s="71">
        <f t="shared" si="0"/>
        <v>360.38436674328568</v>
      </c>
      <c r="F33" s="663">
        <f>IF(B33&gt;G6, 0,F32-E33)</f>
        <v>14369.09256594826</v>
      </c>
      <c r="G33" s="664"/>
    </row>
    <row r="34" spans="2:7">
      <c r="B34" s="14">
        <v>25</v>
      </c>
      <c r="C34" s="70">
        <f>IF(B34&gt;G6,0,Kalkulator!F44)</f>
        <v>440.66001602645463</v>
      </c>
      <c r="D34" s="70">
        <f>IF(B34&gt;G6,0,+F33*I5/I6)</f>
        <v>78.311554484418011</v>
      </c>
      <c r="E34" s="71">
        <f>+C34-D34</f>
        <v>362.3484615420366</v>
      </c>
      <c r="F34" s="663">
        <f>IF(B34&gt;G6, 0,F33-E34)</f>
        <v>14006.744104406223</v>
      </c>
      <c r="G34" s="664"/>
    </row>
    <row r="35" spans="2:7">
      <c r="B35" s="14">
        <v>26</v>
      </c>
      <c r="C35" s="70">
        <f>IF(B35&gt;G6,0,Kalkulator!F44)</f>
        <v>440.66001602645463</v>
      </c>
      <c r="D35" s="70">
        <f>IF(B35&gt;G6,0,+F34*I5/I6)</f>
        <v>76.336755369013915</v>
      </c>
      <c r="E35" s="71">
        <f t="shared" si="0"/>
        <v>364.3232606574407</v>
      </c>
      <c r="F35" s="663">
        <f>IF(B35&gt;G6, 0,F34-E35)</f>
        <v>13642.420843748783</v>
      </c>
      <c r="G35" s="664"/>
    </row>
    <row r="36" spans="2:7">
      <c r="B36" s="14">
        <v>27</v>
      </c>
      <c r="C36" s="70">
        <f>IF(B36&gt;G6,0,Kalkulator!F44)</f>
        <v>440.66001602645463</v>
      </c>
      <c r="D36" s="70">
        <f>IF(B36&gt;G6,0,+F35*I5/I6)</f>
        <v>74.351193598430868</v>
      </c>
      <c r="E36" s="71">
        <f t="shared" si="0"/>
        <v>366.30882242802375</v>
      </c>
      <c r="F36" s="663">
        <f>IF(B36&gt;G6, 0,F35-E36)</f>
        <v>13276.11202132076</v>
      </c>
      <c r="G36" s="664"/>
    </row>
    <row r="37" spans="2:7">
      <c r="B37" s="14">
        <v>28</v>
      </c>
      <c r="C37" s="70">
        <f>IF(B37&gt;G6,0,Kalkulator!F44)</f>
        <v>440.66001602645463</v>
      </c>
      <c r="D37" s="70">
        <f>IF(B37&gt;G6,0,+F36*I5/I6)</f>
        <v>72.354810516198143</v>
      </c>
      <c r="E37" s="71">
        <f t="shared" si="0"/>
        <v>368.30520551025649</v>
      </c>
      <c r="F37" s="663">
        <f>IF(B37&gt;G6, 0,F36-E37)</f>
        <v>12907.806815810503</v>
      </c>
      <c r="G37" s="664"/>
    </row>
    <row r="38" spans="2:7">
      <c r="B38" s="14">
        <v>29</v>
      </c>
      <c r="C38" s="70">
        <f>IF(B38&gt;G6,0,Kalkulator!F44)</f>
        <v>440.66001602645463</v>
      </c>
      <c r="D38" s="70">
        <f>IF(B38&gt;G6,0,+F37*I5/I6)</f>
        <v>70.347547146167244</v>
      </c>
      <c r="E38" s="71">
        <f t="shared" si="0"/>
        <v>370.31246888028738</v>
      </c>
      <c r="F38" s="663">
        <f>IF(B38&gt;G6, 0,F37-E38)</f>
        <v>12537.494346930216</v>
      </c>
      <c r="G38" s="664"/>
    </row>
    <row r="39" spans="2:7">
      <c r="B39" s="14">
        <v>30</v>
      </c>
      <c r="C39" s="70">
        <f>IF(B39&gt;G6,0,Kalkulator!F44)</f>
        <v>440.66001602645463</v>
      </c>
      <c r="D39" s="70">
        <f>IF(B39&gt;G6,0,+F38*I5/I6)</f>
        <v>68.329344190769675</v>
      </c>
      <c r="E39" s="71">
        <f t="shared" si="0"/>
        <v>372.33067183568494</v>
      </c>
      <c r="F39" s="663">
        <f>IF(B39&gt;G6, 0,F38-E39)</f>
        <v>12165.163675094531</v>
      </c>
      <c r="G39" s="664"/>
    </row>
    <row r="40" spans="2:7">
      <c r="B40" s="14">
        <v>31</v>
      </c>
      <c r="C40" s="70">
        <f>IF(B40&gt;G6,0,Kalkulator!F44)</f>
        <v>440.66001602645463</v>
      </c>
      <c r="D40" s="70">
        <f>IF(B40&gt;G6,0,F39*I5/I6)</f>
        <v>66.300142029265189</v>
      </c>
      <c r="E40" s="71">
        <f t="shared" si="0"/>
        <v>374.35987399718942</v>
      </c>
      <c r="F40" s="663">
        <f>IF(B40&gt;G6, 0,F39-E40)</f>
        <v>11790.803801097341</v>
      </c>
      <c r="G40" s="664"/>
    </row>
    <row r="41" spans="2:7">
      <c r="B41" s="14">
        <v>32</v>
      </c>
      <c r="C41" s="70">
        <f>IF(B41&gt;G6,0,Kalkulator!F44)</f>
        <v>440.66001602645463</v>
      </c>
      <c r="D41" s="70">
        <f>IF(B41&gt;G6,0,F40*I5/I6)</f>
        <v>64.259880715980515</v>
      </c>
      <c r="E41" s="71">
        <f t="shared" si="0"/>
        <v>376.40013531047413</v>
      </c>
      <c r="F41" s="663">
        <f>IF(B41&gt;G6, 0,F40-E41)</f>
        <v>11414.403665786867</v>
      </c>
      <c r="G41" s="664"/>
    </row>
    <row r="42" spans="2:7">
      <c r="B42" s="14">
        <v>33</v>
      </c>
      <c r="C42" s="70">
        <f>IF(B42&gt;G6,0,Kalkulator!F44)</f>
        <v>440.66001602645463</v>
      </c>
      <c r="D42" s="70">
        <f>IF(B42&gt;G6,0,F41*I5/I6)</f>
        <v>62.208499978538427</v>
      </c>
      <c r="E42" s="71">
        <f t="shared" si="0"/>
        <v>378.45151604791619</v>
      </c>
      <c r="F42" s="663">
        <f>IF(B42&gt;G6, 0,F41-E42)</f>
        <v>11035.952149738951</v>
      </c>
      <c r="G42" s="664"/>
    </row>
    <row r="43" spans="2:7">
      <c r="B43" s="14">
        <v>34</v>
      </c>
      <c r="C43" s="70">
        <f>IF(B43&gt;G6,0,Kalkulator!F44)</f>
        <v>440.66001602645463</v>
      </c>
      <c r="D43" s="70">
        <f>IF(B43&gt;G6,0,F42*I5/I6)</f>
        <v>60.145939216077281</v>
      </c>
      <c r="E43" s="71">
        <f t="shared" si="0"/>
        <v>380.51407681037733</v>
      </c>
      <c r="F43" s="663">
        <f>IF(B43&gt;G6, 0,F42-E43)</f>
        <v>10655.438072928573</v>
      </c>
      <c r="G43" s="664"/>
    </row>
    <row r="44" spans="2:7">
      <c r="B44" s="14">
        <v>35</v>
      </c>
      <c r="C44" s="70">
        <f>IF(B44&gt;G6,0,Kalkulator!F44)</f>
        <v>440.66001602645463</v>
      </c>
      <c r="D44" s="70">
        <f>IF(B44&gt;G6,0,+F43*I5/I6)</f>
        <v>58.072137497460723</v>
      </c>
      <c r="E44" s="71">
        <f t="shared" si="0"/>
        <v>382.58787852899388</v>
      </c>
      <c r="F44" s="663">
        <f>IF(B44&gt;G6, 0,F43-E44)</f>
        <v>10272.85019439958</v>
      </c>
      <c r="G44" s="664"/>
    </row>
    <row r="45" spans="2:7">
      <c r="B45" s="14">
        <v>36</v>
      </c>
      <c r="C45" s="70">
        <f>IF(B45&gt;G6,0,Kalkulator!F44)</f>
        <v>440.66001602645463</v>
      </c>
      <c r="D45" s="70">
        <f>IF(B45&gt;G6,0,F44*I5/I6)</f>
        <v>55.987033559477709</v>
      </c>
      <c r="E45" s="71">
        <f t="shared" si="0"/>
        <v>384.67298246697692</v>
      </c>
      <c r="F45" s="663">
        <f>IF(B45&gt;G6, 0,F44-E45)</f>
        <v>9888.1772119326033</v>
      </c>
      <c r="G45" s="664"/>
    </row>
    <row r="46" spans="2:7">
      <c r="B46" s="14">
        <v>37</v>
      </c>
      <c r="C46" s="70">
        <f>IF(B46&gt;G6,0,Kalkulator!F44)</f>
        <v>440.66001602645463</v>
      </c>
      <c r="D46" s="70">
        <f>IF(B34&gt;G6,0,+F45*I5/I6)</f>
        <v>53.890565805032686</v>
      </c>
      <c r="E46" s="71">
        <f t="shared" si="0"/>
        <v>386.76945022142195</v>
      </c>
      <c r="F46" s="663">
        <f>IF(B46&gt;G6, 0,F45-E46)</f>
        <v>9501.4077617111816</v>
      </c>
      <c r="G46" s="664"/>
    </row>
    <row r="47" spans="2:7">
      <c r="B47" s="14">
        <v>38</v>
      </c>
      <c r="C47" s="70">
        <f>IF(B47&gt;G6,0,Kalkulator!F44)</f>
        <v>440.66001602645463</v>
      </c>
      <c r="D47" s="70">
        <f>IF(B47&gt;G6,0,F46*I5/I6)</f>
        <v>51.782672301325938</v>
      </c>
      <c r="E47" s="71">
        <f t="shared" si="0"/>
        <v>388.8773437251287</v>
      </c>
      <c r="F47" s="663">
        <f>IF(B47&gt;G6, 0,F46-E47)</f>
        <v>9112.5304179860523</v>
      </c>
      <c r="G47" s="664"/>
    </row>
    <row r="48" spans="2:7">
      <c r="B48" s="14">
        <v>39</v>
      </c>
      <c r="C48" s="70">
        <f>IF(B48&gt;G6,0,Kalkulator!F44)</f>
        <v>440.66001602645463</v>
      </c>
      <c r="D48" s="70">
        <f>IF(B48&gt;G6,0,F47*I5/I6)</f>
        <v>49.663290778023985</v>
      </c>
      <c r="E48" s="71">
        <f t="shared" si="0"/>
        <v>390.99672524843066</v>
      </c>
      <c r="F48" s="663">
        <f>IF(B48&gt;G6, 0,F47-E48)</f>
        <v>8721.5336927376211</v>
      </c>
      <c r="G48" s="664"/>
    </row>
    <row r="49" spans="2:7">
      <c r="B49" s="14">
        <v>40</v>
      </c>
      <c r="C49" s="70">
        <f>IF(B49&gt;G6,0,Kalkulator!F44)</f>
        <v>440.66001602645463</v>
      </c>
      <c r="D49" s="70">
        <f>IF(B49&gt;G6,0,F48*I5/I6)</f>
        <v>47.532358625420038</v>
      </c>
      <c r="E49" s="71">
        <f t="shared" si="0"/>
        <v>393.12765740103458</v>
      </c>
      <c r="F49" s="663">
        <f>IF(B49&gt;G6, 0,F48-E49)</f>
        <v>8328.4060353365858</v>
      </c>
      <c r="G49" s="664"/>
    </row>
    <row r="50" spans="2:7">
      <c r="B50" s="14">
        <v>41</v>
      </c>
      <c r="C50" s="70">
        <f>IF(B50&gt;G6,0,Kalkulator!F44)</f>
        <v>440.66001602645463</v>
      </c>
      <c r="D50" s="70">
        <f>IF(B50&gt;G6,0,F49*I5/I6)</f>
        <v>45.389812892584395</v>
      </c>
      <c r="E50" s="71">
        <f t="shared" si="0"/>
        <v>395.27020313387021</v>
      </c>
      <c r="F50" s="663">
        <f>IF(B50&gt;G6, 0,F49-E50)</f>
        <v>7933.1358322027154</v>
      </c>
      <c r="G50" s="664"/>
    </row>
    <row r="51" spans="2:7">
      <c r="B51" s="14">
        <v>42</v>
      </c>
      <c r="C51" s="70">
        <f>IF(B51&gt;G6,0,Kalkulator!F44)</f>
        <v>440.66001602645463</v>
      </c>
      <c r="D51" s="70">
        <f>IF(B51&gt;G6,0,F50*I5/I6)</f>
        <v>43.235590285504799</v>
      </c>
      <c r="E51" s="71">
        <f t="shared" si="0"/>
        <v>397.4244257409498</v>
      </c>
      <c r="F51" s="663">
        <f>IF(B51&gt;G6, 0,F50-E51)</f>
        <v>7535.7114064617654</v>
      </c>
      <c r="G51" s="664"/>
    </row>
    <row r="52" spans="2:7">
      <c r="B52" s="14">
        <v>43</v>
      </c>
      <c r="C52" s="70">
        <f>IF(B52&gt;G6,0,Kalkulator!F44)</f>
        <v>440.66001602645463</v>
      </c>
      <c r="D52" s="70">
        <f>IF(B52&gt;G6,0,F51*I5/I6)</f>
        <v>41.069627165216623</v>
      </c>
      <c r="E52" s="71">
        <f t="shared" si="0"/>
        <v>399.59038886123801</v>
      </c>
      <c r="F52" s="663">
        <f>IF(B52&gt;G6, 0,F51-E52)</f>
        <v>7136.121017600527</v>
      </c>
      <c r="G52" s="664"/>
    </row>
    <row r="53" spans="2:7">
      <c r="B53" s="14">
        <v>44</v>
      </c>
      <c r="C53" s="70">
        <f>IF(B53&gt;G6,0,Kalkulator!F44)</f>
        <v>440.66001602645463</v>
      </c>
      <c r="D53" s="70">
        <f>IF(B53&gt;G6,0,F52*I5/I6)</f>
        <v>38.89185954592287</v>
      </c>
      <c r="E53" s="71">
        <f t="shared" si="0"/>
        <v>401.76815648053173</v>
      </c>
      <c r="F53" s="663">
        <f>IF(B53&gt;G6, 0,F52-E53)</f>
        <v>6734.3528611199954</v>
      </c>
      <c r="G53" s="664"/>
    </row>
    <row r="54" spans="2:7">
      <c r="B54" s="14">
        <v>45</v>
      </c>
      <c r="C54" s="70">
        <f>IF(B54&gt;G6,0,Kalkulator!F44)</f>
        <v>440.66001602645463</v>
      </c>
      <c r="D54" s="70">
        <f>IF(B54&gt;G6,0,F53*I5/I6)</f>
        <v>36.702223093103974</v>
      </c>
      <c r="E54" s="71">
        <f t="shared" si="0"/>
        <v>403.95779293335067</v>
      </c>
      <c r="F54" s="663">
        <f>IF(B54&gt;G6, 0,F53-E54)</f>
        <v>6330.3950681866445</v>
      </c>
      <c r="G54" s="664"/>
    </row>
    <row r="55" spans="2:7">
      <c r="B55" s="14">
        <v>46</v>
      </c>
      <c r="C55" s="70">
        <f>IF(B55&gt;G6,0,Kalkulator!F44)</f>
        <v>440.66001602645463</v>
      </c>
      <c r="D55" s="70">
        <f>IF(B55&gt;G6,0,F54*I5/I6)</f>
        <v>34.500653121617212</v>
      </c>
      <c r="E55" s="71">
        <f t="shared" si="0"/>
        <v>406.15936290483739</v>
      </c>
      <c r="F55" s="663">
        <f>IF(B55&gt;G6, 0,F54-E55)</f>
        <v>5924.235705281807</v>
      </c>
      <c r="G55" s="664"/>
    </row>
    <row r="56" spans="2:7">
      <c r="B56" s="14">
        <v>47</v>
      </c>
      <c r="C56" s="70">
        <f>IF(B56&gt;G6,0,Kalkulator!F44)</f>
        <v>440.66001602645463</v>
      </c>
      <c r="D56" s="70">
        <f>IF(B56&gt;G6,0,F55*I5/I6)</f>
        <v>32.287084593785849</v>
      </c>
      <c r="E56" s="71">
        <f t="shared" si="0"/>
        <v>408.37293143266879</v>
      </c>
      <c r="F56" s="663">
        <f>IF(B56&gt;G6, 0,F55-E56)</f>
        <v>5515.8627738491377</v>
      </c>
      <c r="G56" s="664"/>
    </row>
    <row r="57" spans="2:7">
      <c r="B57" s="14">
        <v>48</v>
      </c>
      <c r="C57" s="70">
        <f>IF(B57&gt;G6,0,Kalkulator!F44)</f>
        <v>440.66001602645463</v>
      </c>
      <c r="D57" s="70">
        <f>IF(B57&gt;G6,0,F56*I5/I6)</f>
        <v>30.061452117477799</v>
      </c>
      <c r="E57" s="71">
        <f t="shared" si="0"/>
        <v>410.59856390897681</v>
      </c>
      <c r="F57" s="663">
        <f>IF(B57&gt;G6, 0,F56-E57)</f>
        <v>5105.264209940161</v>
      </c>
      <c r="G57" s="664"/>
    </row>
    <row r="58" spans="2:7">
      <c r="B58" s="14">
        <v>49</v>
      </c>
      <c r="C58" s="70">
        <f>IF(B58&gt;G6,0,Kalkulator!F44)</f>
        <v>440.66001602645463</v>
      </c>
      <c r="D58" s="70">
        <f>IF(B58&gt;G6,0,F57*I5/I6)</f>
        <v>27.823689944173879</v>
      </c>
      <c r="E58" s="71">
        <f t="shared" si="0"/>
        <v>412.83632608228072</v>
      </c>
      <c r="F58" s="663">
        <f>IF(B58&gt;G6, 0,F57-E58)</f>
        <v>4692.4278838578803</v>
      </c>
      <c r="G58" s="664"/>
    </row>
    <row r="59" spans="2:7">
      <c r="B59" s="14">
        <v>50</v>
      </c>
      <c r="C59" s="70">
        <f>IF(B59&gt;G6,0,Kalkulator!F44)</f>
        <v>440.66001602645463</v>
      </c>
      <c r="D59" s="70">
        <f>IF(B59&gt;G6,0,F58*I5/I6)</f>
        <v>25.573731967025449</v>
      </c>
      <c r="E59" s="71">
        <f t="shared" si="0"/>
        <v>415.0862840594292</v>
      </c>
      <c r="F59" s="663">
        <f>IF(B59&gt;G6, 0,F58-E59)</f>
        <v>4277.3415997984512</v>
      </c>
      <c r="G59" s="664"/>
    </row>
    <row r="60" spans="2:7">
      <c r="B60" s="14">
        <v>51</v>
      </c>
      <c r="C60" s="70">
        <f>IF(B60&gt;G6,0,Kalkulator!F44)</f>
        <v>440.66001602645463</v>
      </c>
      <c r="D60" s="70">
        <f>IF(B60&gt;G6,0,F59*I5/I6)</f>
        <v>23.31151171890156</v>
      </c>
      <c r="E60" s="71">
        <f t="shared" si="0"/>
        <v>417.34850430755307</v>
      </c>
      <c r="F60" s="663">
        <f>IF(B60&gt;G6, 0,F59-E60)</f>
        <v>3859.9930954908982</v>
      </c>
      <c r="G60" s="664"/>
    </row>
    <row r="61" spans="2:7">
      <c r="B61" s="14">
        <v>52</v>
      </c>
      <c r="C61" s="70">
        <f>IF(B61&gt;G6,0,Kalkulator!F44)</f>
        <v>440.66001602645463</v>
      </c>
      <c r="D61" s="70">
        <f>IF(B61&gt;G6,0,F60*I5/I6)</f>
        <v>21.036962370425396</v>
      </c>
      <c r="E61" s="71">
        <f t="shared" si="0"/>
        <v>419.62305365602924</v>
      </c>
      <c r="F61" s="663">
        <f>IF(B61&gt;G6, 0,F60-E61)</f>
        <v>3440.370041834869</v>
      </c>
      <c r="G61" s="664"/>
    </row>
    <row r="62" spans="2:7">
      <c r="B62" s="14">
        <v>53</v>
      </c>
      <c r="C62" s="70">
        <f>IF(B62&gt;G6,0,Kalkulator!F44)</f>
        <v>440.66001602645463</v>
      </c>
      <c r="D62" s="70">
        <f>IF(B62&gt;G6,0,F61*I5/I6)</f>
        <v>18.750016728000038</v>
      </c>
      <c r="E62" s="71">
        <f t="shared" si="0"/>
        <v>421.90999929845458</v>
      </c>
      <c r="F62" s="663">
        <f>IF(B62&gt;G6, 0,F61-E62)</f>
        <v>3018.4600425364142</v>
      </c>
      <c r="G62" s="664"/>
    </row>
    <row r="63" spans="2:7">
      <c r="B63" s="14">
        <v>54</v>
      </c>
      <c r="C63" s="70">
        <f>IF(B63&gt;G6,0,Kalkulator!F44)</f>
        <v>440.66001602645463</v>
      </c>
      <c r="D63" s="70">
        <f>IF(B63&gt;G6,0,F62*I5/I6)</f>
        <v>16.450607231823458</v>
      </c>
      <c r="E63" s="71">
        <f t="shared" si="0"/>
        <v>424.20940879463114</v>
      </c>
      <c r="F63" s="663">
        <f>IF(B63&gt;G6, 0,F62-E63)</f>
        <v>2594.2506337417831</v>
      </c>
      <c r="G63" s="664"/>
    </row>
    <row r="64" spans="2:7">
      <c r="B64" s="14">
        <v>55</v>
      </c>
      <c r="C64" s="70">
        <f>IF(B64&gt;G6,0,Kalkulator!F44)</f>
        <v>440.66001602645463</v>
      </c>
      <c r="D64" s="70">
        <f>IF(B34&gt;G6,0,F63*I5/I6)</f>
        <v>14.138665953892717</v>
      </c>
      <c r="E64" s="71">
        <f t="shared" si="0"/>
        <v>426.52135007256192</v>
      </c>
      <c r="F64" s="663">
        <f>IF(B64&gt;G6, 0,F63-E64)</f>
        <v>2167.7292836692213</v>
      </c>
      <c r="G64" s="664"/>
    </row>
    <row r="65" spans="2:7">
      <c r="B65" s="14">
        <v>56</v>
      </c>
      <c r="C65" s="70">
        <f>IF(B65&gt;G6,0,Kalkulator!F44)</f>
        <v>440.66001602645463</v>
      </c>
      <c r="D65" s="70">
        <f>IF(B65&gt;G6,0,F64*I5/I6)</f>
        <v>11.814124595997257</v>
      </c>
      <c r="E65" s="71">
        <f t="shared" si="0"/>
        <v>428.84589143045736</v>
      </c>
      <c r="F65" s="663">
        <f>IF(B65&gt;G6, 0,F64-E65)</f>
        <v>1738.8833922387639</v>
      </c>
      <c r="G65" s="664"/>
    </row>
    <row r="66" spans="2:7">
      <c r="B66" s="14">
        <v>57</v>
      </c>
      <c r="C66" s="70">
        <f>IF(B66&gt;G6,0,Kalkulator!F44)</f>
        <v>440.66001602645463</v>
      </c>
      <c r="D66" s="70">
        <f>IF(B66&gt;G6,0,F65*I5/I6)</f>
        <v>9.4769144877012632</v>
      </c>
      <c r="E66" s="71">
        <f t="shared" si="0"/>
        <v>431.18310153875336</v>
      </c>
      <c r="F66" s="663">
        <f>IF(B66&gt;G6, 0,F65-E66)</f>
        <v>1307.7002907000106</v>
      </c>
      <c r="G66" s="664"/>
    </row>
    <row r="67" spans="2:7">
      <c r="B67" s="14">
        <v>58</v>
      </c>
      <c r="C67" s="70">
        <f>IF(B67&gt;G6,0,Kalkulator!F44)</f>
        <v>440.66001602645463</v>
      </c>
      <c r="D67" s="70">
        <f>IF(B67&gt;G6,0,F66*I5/I6)</f>
        <v>7.1269665843150571</v>
      </c>
      <c r="E67" s="71">
        <f t="shared" si="0"/>
        <v>433.53304944213954</v>
      </c>
      <c r="F67" s="663">
        <f>IF(B67&gt;G6, 0,F66-E67)</f>
        <v>874.16724125787096</v>
      </c>
      <c r="G67" s="664"/>
    </row>
    <row r="68" spans="2:7">
      <c r="B68" s="14">
        <v>59</v>
      </c>
      <c r="C68" s="70">
        <f>IF(B68&gt;G6,0,Kalkulator!F44)</f>
        <v>440.66001602645463</v>
      </c>
      <c r="D68" s="70">
        <f>IF(B68&gt;G6,0,F67*I5/I6)</f>
        <v>4.7642114648553964</v>
      </c>
      <c r="E68" s="71">
        <f t="shared" si="0"/>
        <v>435.89580456159922</v>
      </c>
      <c r="F68" s="663">
        <f>IF(B68&gt;G6, 0,F67-E68)</f>
        <v>438.27143669627173</v>
      </c>
      <c r="G68" s="664"/>
    </row>
    <row r="69" spans="2:7">
      <c r="B69" s="14">
        <v>60</v>
      </c>
      <c r="C69" s="70">
        <f>IF(B69&gt;G6,0,Kalkulator!F44)</f>
        <v>440.66001602645463</v>
      </c>
      <c r="D69" s="70">
        <f>IF(B69&gt;G6,0,F68*I5/I6)</f>
        <v>2.3885793299946809</v>
      </c>
      <c r="E69" s="71">
        <f t="shared" si="0"/>
        <v>438.27143669645994</v>
      </c>
      <c r="F69" s="663">
        <f>IF(B69&gt;G6, 0,F68-E69)</f>
        <v>-1.8820855984813534E-10</v>
      </c>
      <c r="G69" s="664"/>
    </row>
    <row r="70" spans="2:7">
      <c r="B70" s="14">
        <v>61</v>
      </c>
      <c r="C70" s="70">
        <f>IF(B70&gt;G6,0,Kalkulator!F44)</f>
        <v>0</v>
      </c>
      <c r="D70" s="70">
        <f>IF(B70&gt;G6,0,F69*I5/I6)</f>
        <v>0</v>
      </c>
      <c r="E70" s="71">
        <f t="shared" si="0"/>
        <v>0</v>
      </c>
      <c r="F70" s="663">
        <f>IF(B70&gt;G6, 0,F69-E70)</f>
        <v>0</v>
      </c>
      <c r="G70" s="664"/>
    </row>
    <row r="71" spans="2:7">
      <c r="B71" s="14">
        <v>62</v>
      </c>
      <c r="C71" s="70">
        <f>IF(B71&gt;G6,0,Kalkulator!F44)</f>
        <v>0</v>
      </c>
      <c r="D71" s="70">
        <f>IF(B71&gt;G6,0,F70*I5/I6)</f>
        <v>0</v>
      </c>
      <c r="E71" s="71">
        <f t="shared" si="0"/>
        <v>0</v>
      </c>
      <c r="F71" s="663">
        <f>IF(B71&gt;G6, 0,F70-E71)</f>
        <v>0</v>
      </c>
      <c r="G71" s="664"/>
    </row>
    <row r="72" spans="2:7">
      <c r="B72" s="14">
        <v>63</v>
      </c>
      <c r="C72" s="70">
        <f>IF(B72&gt;G6,0,Kalkulator!F44)</f>
        <v>0</v>
      </c>
      <c r="D72" s="70">
        <f>IF(B72&gt;G6,0,F71*I5/I6)</f>
        <v>0</v>
      </c>
      <c r="E72" s="71">
        <f t="shared" si="0"/>
        <v>0</v>
      </c>
      <c r="F72" s="663">
        <f>IF(B72&gt;G6, 0,F71-E72)</f>
        <v>0</v>
      </c>
      <c r="G72" s="664"/>
    </row>
    <row r="73" spans="2:7">
      <c r="B73" s="14">
        <v>64</v>
      </c>
      <c r="C73" s="70">
        <f>IF(B73&gt;G6,0,Kalkulator!F44)</f>
        <v>0</v>
      </c>
      <c r="D73" s="70">
        <f>IF(B73&gt;G6,0,F72*I5/I6)</f>
        <v>0</v>
      </c>
      <c r="E73" s="71">
        <f t="shared" si="0"/>
        <v>0</v>
      </c>
      <c r="F73" s="663">
        <f>IF(B73&gt;G6, 0,F72-E73)</f>
        <v>0</v>
      </c>
      <c r="G73" s="664"/>
    </row>
    <row r="74" spans="2:7">
      <c r="B74" s="14">
        <v>65</v>
      </c>
      <c r="C74" s="70">
        <f>IF(B74&gt;G6,0,Kalkulator!F44)</f>
        <v>0</v>
      </c>
      <c r="D74" s="70">
        <f>IF(B74&gt;G6,0,F73*I5/I6)</f>
        <v>0</v>
      </c>
      <c r="E74" s="71">
        <f t="shared" ref="E74:E93" si="1">+C74-D74</f>
        <v>0</v>
      </c>
      <c r="F74" s="663">
        <f>IF(B74&gt;G6, 0,F73-E74)</f>
        <v>0</v>
      </c>
      <c r="G74" s="664"/>
    </row>
    <row r="75" spans="2:7">
      <c r="B75" s="14">
        <v>66</v>
      </c>
      <c r="C75" s="70">
        <f>IF(B75&gt;G6,0,Kalkulator!F44)</f>
        <v>0</v>
      </c>
      <c r="D75" s="70">
        <f>IF(B75&gt;G6,0,F74*I5/I6)</f>
        <v>0</v>
      </c>
      <c r="E75" s="71">
        <f t="shared" si="1"/>
        <v>0</v>
      </c>
      <c r="F75" s="663">
        <f>IF(B75&gt;G6, 0,F74-E75)</f>
        <v>0</v>
      </c>
      <c r="G75" s="664"/>
    </row>
    <row r="76" spans="2:7">
      <c r="B76" s="14">
        <v>67</v>
      </c>
      <c r="C76" s="70">
        <f>IF(B76&gt;G6,0,Kalkulator!F44)</f>
        <v>0</v>
      </c>
      <c r="D76" s="70">
        <f>IF(B76&gt;G6,0,F75*I5/I6)</f>
        <v>0</v>
      </c>
      <c r="E76" s="71">
        <f t="shared" si="1"/>
        <v>0</v>
      </c>
      <c r="F76" s="663">
        <f>IF(B76&gt;E47, 0,F75-E76)</f>
        <v>0</v>
      </c>
      <c r="G76" s="664"/>
    </row>
    <row r="77" spans="2:7">
      <c r="B77" s="14">
        <v>68</v>
      </c>
      <c r="C77" s="70">
        <f>IF(B77&gt;G6,0,Kalkulator!F44)</f>
        <v>0</v>
      </c>
      <c r="D77" s="70">
        <f>IF(B77&gt;G6,0,F76*I5/I6)</f>
        <v>0</v>
      </c>
      <c r="E77" s="71">
        <f t="shared" si="1"/>
        <v>0</v>
      </c>
      <c r="F77" s="663">
        <f>IF(B77&gt;G6, 0,F76-E77)</f>
        <v>0</v>
      </c>
      <c r="G77" s="664"/>
    </row>
    <row r="78" spans="2:7">
      <c r="B78" s="14">
        <v>69</v>
      </c>
      <c r="C78" s="70">
        <f>IF(B78&gt;G6,0,Kalkulator!F44)</f>
        <v>0</v>
      </c>
      <c r="D78" s="70">
        <f>IF(B78&gt;G6,0,F77*I5/I6)</f>
        <v>0</v>
      </c>
      <c r="E78" s="71">
        <f t="shared" si="1"/>
        <v>0</v>
      </c>
      <c r="F78" s="663">
        <f>IF(B78&gt;G6, 0,F77-E78)</f>
        <v>0</v>
      </c>
      <c r="G78" s="664"/>
    </row>
    <row r="79" spans="2:7">
      <c r="B79" s="14">
        <v>70</v>
      </c>
      <c r="C79" s="70">
        <f>IF(B79&gt;G6,0,Kalkulator!F44)</f>
        <v>0</v>
      </c>
      <c r="D79" s="70">
        <f>IF(B79&gt;G6,0,F78*I5/I6)</f>
        <v>0</v>
      </c>
      <c r="E79" s="71">
        <f t="shared" si="1"/>
        <v>0</v>
      </c>
      <c r="F79" s="663">
        <f>IF(B79&gt;G6, 0,F78-E79)</f>
        <v>0</v>
      </c>
      <c r="G79" s="664"/>
    </row>
    <row r="80" spans="2:7">
      <c r="B80" s="14">
        <v>71</v>
      </c>
      <c r="C80" s="70">
        <f>IF(B80&gt;G6,0,Kalkulator!F44)</f>
        <v>0</v>
      </c>
      <c r="D80" s="70">
        <f>IF(B80&gt;G6,0,F79*I5/I6)</f>
        <v>0</v>
      </c>
      <c r="E80" s="71">
        <f t="shared" si="1"/>
        <v>0</v>
      </c>
      <c r="F80" s="663">
        <f>IF(B80&gt;G6, 0,F79-E80)</f>
        <v>0</v>
      </c>
      <c r="G80" s="664"/>
    </row>
    <row r="81" spans="1:7">
      <c r="B81" s="14">
        <v>72</v>
      </c>
      <c r="C81" s="70">
        <f>IF(B81&gt;G6,0,Kalkulator!F44)</f>
        <v>0</v>
      </c>
      <c r="D81" s="70">
        <f>IF(B81&gt;G6,0,F80*I5/I6)</f>
        <v>0</v>
      </c>
      <c r="E81" s="70">
        <f t="shared" si="1"/>
        <v>0</v>
      </c>
      <c r="F81" s="663">
        <f>IF(B81&gt;G6, 0,F80-E81)</f>
        <v>0</v>
      </c>
      <c r="G81" s="664"/>
    </row>
    <row r="82" spans="1:7">
      <c r="B82" s="14">
        <v>73</v>
      </c>
      <c r="C82" s="70">
        <f>IF(B82&gt;G6,0,Kalkulator!F44)</f>
        <v>0</v>
      </c>
      <c r="D82" s="70">
        <f>IF(B82&gt;G6,0,F81*I5/I6)</f>
        <v>0</v>
      </c>
      <c r="E82" s="70">
        <f t="shared" si="1"/>
        <v>0</v>
      </c>
      <c r="F82" s="663">
        <f>IF(B82&gt;G6, 0,F81-E82)</f>
        <v>0</v>
      </c>
      <c r="G82" s="664"/>
    </row>
    <row r="83" spans="1:7">
      <c r="B83" s="14">
        <v>74</v>
      </c>
      <c r="C83" s="70">
        <f>IF(B83&gt;G6,0,Kalkulator!F44)</f>
        <v>0</v>
      </c>
      <c r="D83" s="70">
        <f>IF(B83&gt;G6,0,F82*I5/I6)</f>
        <v>0</v>
      </c>
      <c r="E83" s="70">
        <f t="shared" si="1"/>
        <v>0</v>
      </c>
      <c r="F83" s="663">
        <f>IF(B83&gt;G6, 0,F82-E83)</f>
        <v>0</v>
      </c>
      <c r="G83" s="664"/>
    </row>
    <row r="84" spans="1:7">
      <c r="B84" s="14">
        <v>75</v>
      </c>
      <c r="C84" s="70">
        <f>IF(B84&gt;G6,0,Kalkulator!F44)</f>
        <v>0</v>
      </c>
      <c r="D84" s="70">
        <f>IF(B84&gt;G6,0,F83*I5/I6)</f>
        <v>0</v>
      </c>
      <c r="E84" s="70">
        <f t="shared" si="1"/>
        <v>0</v>
      </c>
      <c r="F84" s="663">
        <f>IF(B84&gt;G6, 0,F83-E84)</f>
        <v>0</v>
      </c>
      <c r="G84" s="664"/>
    </row>
    <row r="85" spans="1:7">
      <c r="B85" s="14">
        <v>76</v>
      </c>
      <c r="C85" s="70">
        <f>IF(B85&gt;G6,0,Kalkulator!F44)</f>
        <v>0</v>
      </c>
      <c r="D85" s="70">
        <f>IF(B85&gt;G6,0,F84*I5/I6)</f>
        <v>0</v>
      </c>
      <c r="E85" s="70">
        <f t="shared" si="1"/>
        <v>0</v>
      </c>
      <c r="F85" s="663">
        <f>IF(B85&gt;G6, 0,F84-E85)</f>
        <v>0</v>
      </c>
      <c r="G85" s="664"/>
    </row>
    <row r="86" spans="1:7">
      <c r="B86" s="14">
        <v>77</v>
      </c>
      <c r="C86" s="70">
        <f>IF(B86&gt;G6,0,Kalkulator!F44)</f>
        <v>0</v>
      </c>
      <c r="D86" s="70">
        <f>IF(B86&gt;G6,0,F85*I5/I6)</f>
        <v>0</v>
      </c>
      <c r="E86" s="70">
        <f t="shared" si="1"/>
        <v>0</v>
      </c>
      <c r="F86" s="663">
        <f>IF(B86&gt;G6, 0,F85-E86)</f>
        <v>0</v>
      </c>
      <c r="G86" s="664"/>
    </row>
    <row r="87" spans="1:7">
      <c r="B87" s="14">
        <v>78</v>
      </c>
      <c r="C87" s="70">
        <f>IF(B87&gt;G6,0,Kalkulator!F44)</f>
        <v>0</v>
      </c>
      <c r="D87" s="70">
        <f>IF(B87&gt;G6,0,F86*I5/I6)</f>
        <v>0</v>
      </c>
      <c r="E87" s="70">
        <f t="shared" si="1"/>
        <v>0</v>
      </c>
      <c r="F87" s="663">
        <f>IF(B87&gt;G6, 0,F86-E87)</f>
        <v>0</v>
      </c>
      <c r="G87" s="664"/>
    </row>
    <row r="88" spans="1:7">
      <c r="B88" s="14">
        <v>79</v>
      </c>
      <c r="C88" s="70">
        <f>IF(B88&gt;G6,0,Kalkulator!F44)</f>
        <v>0</v>
      </c>
      <c r="D88" s="70">
        <f>IF(B88&gt;G6,0,F87*I5/I6)</f>
        <v>0</v>
      </c>
      <c r="E88" s="70">
        <f t="shared" si="1"/>
        <v>0</v>
      </c>
      <c r="F88" s="663">
        <f>IF(B88&gt;G6, 0,F87-E88)</f>
        <v>0</v>
      </c>
      <c r="G88" s="664"/>
    </row>
    <row r="89" spans="1:7">
      <c r="B89" s="14">
        <v>80</v>
      </c>
      <c r="C89" s="70">
        <f>IF(B89&gt;G6,0,Kalkulator!F44)</f>
        <v>0</v>
      </c>
      <c r="D89" s="70">
        <f>IF(B89&gt;G6,0,F88*I5/I6)</f>
        <v>0</v>
      </c>
      <c r="E89" s="70">
        <f t="shared" si="1"/>
        <v>0</v>
      </c>
      <c r="F89" s="663">
        <f>IF(B89&gt;G6, 0,F88-E89)</f>
        <v>0</v>
      </c>
      <c r="G89" s="664"/>
    </row>
    <row r="90" spans="1:7">
      <c r="B90" s="14">
        <v>81</v>
      </c>
      <c r="C90" s="70">
        <f>IF(B90&gt;G6,0,Kalkulator!F44)</f>
        <v>0</v>
      </c>
      <c r="D90" s="70">
        <f>IF(B90&gt;G6,0,F89*I5/I6)</f>
        <v>0</v>
      </c>
      <c r="E90" s="70">
        <f t="shared" si="1"/>
        <v>0</v>
      </c>
      <c r="F90" s="663">
        <f>IF(B90&gt;G6, 0,F89-E90)</f>
        <v>0</v>
      </c>
      <c r="G90" s="664"/>
    </row>
    <row r="91" spans="1:7">
      <c r="B91" s="14">
        <v>82</v>
      </c>
      <c r="C91" s="70">
        <f>IF(B91&gt;G6,0,Kalkulator!F44)</f>
        <v>0</v>
      </c>
      <c r="D91" s="70">
        <f>IF(B91&gt;G6,0,F90*I5/I6)</f>
        <v>0</v>
      </c>
      <c r="E91" s="70">
        <f t="shared" si="1"/>
        <v>0</v>
      </c>
      <c r="F91" s="663">
        <f>IF(B91&gt;G6, 0,F90-E91)</f>
        <v>0</v>
      </c>
      <c r="G91" s="664"/>
    </row>
    <row r="92" spans="1:7">
      <c r="B92" s="14">
        <v>83</v>
      </c>
      <c r="C92" s="70">
        <f>IF(B92&gt;G6,0,Kalkulator!F44)</f>
        <v>0</v>
      </c>
      <c r="D92" s="70">
        <f>IF(B92&gt;G6,0,F91*I5/I6)</f>
        <v>0</v>
      </c>
      <c r="E92" s="70">
        <f t="shared" si="1"/>
        <v>0</v>
      </c>
      <c r="F92" s="663">
        <f>IF(B92&gt;G6, 0,F91-E92)</f>
        <v>0</v>
      </c>
      <c r="G92" s="664"/>
    </row>
    <row r="93" spans="1:7">
      <c r="B93" s="14">
        <v>84</v>
      </c>
      <c r="C93" s="70">
        <f>IF(B93&gt;G6,0,Kalkulator!F44)</f>
        <v>0</v>
      </c>
      <c r="D93" s="70">
        <f>IF(B93&gt;G6,0,F92*I5/I6)</f>
        <v>0</v>
      </c>
      <c r="E93" s="70">
        <f t="shared" si="1"/>
        <v>0</v>
      </c>
      <c r="F93" s="663">
        <f>IF(B93&gt;G6, 0,F92-E93)</f>
        <v>0</v>
      </c>
      <c r="G93" s="664"/>
    </row>
    <row r="94" spans="1:7">
      <c r="B94" s="72" t="s">
        <v>83</v>
      </c>
      <c r="C94" s="70"/>
      <c r="D94" s="70"/>
      <c r="E94" s="70">
        <v>0</v>
      </c>
      <c r="F94" s="661"/>
      <c r="G94" s="662"/>
    </row>
    <row r="95" spans="1:7" ht="15.75" thickBot="1">
      <c r="B95" s="10" t="s">
        <v>84</v>
      </c>
      <c r="C95" s="73">
        <f>SUM(C10:C81)</f>
        <v>26439.600961587257</v>
      </c>
      <c r="D95" s="73">
        <f>SUM(D10:D81)</f>
        <v>3939.6009615870826</v>
      </c>
      <c r="E95" s="73">
        <f>SUM(E10:E94)</f>
        <v>22500.0000000002</v>
      </c>
      <c r="F95" s="659">
        <f>F81</f>
        <v>0</v>
      </c>
      <c r="G95" s="660"/>
    </row>
    <row r="96" spans="1:7" ht="15.75" thickBot="1">
      <c r="A96" s="64"/>
      <c r="B96" s="21"/>
      <c r="C96" s="74"/>
      <c r="D96" s="65"/>
      <c r="E96" s="21"/>
      <c r="F96" s="21"/>
      <c r="G96" s="66"/>
    </row>
    <row r="97" spans="1:13" ht="17.25">
      <c r="A97" s="593" t="s">
        <v>181</v>
      </c>
      <c r="B97" s="593"/>
      <c r="C97" s="593"/>
      <c r="D97" s="593"/>
      <c r="E97" s="593"/>
      <c r="F97" s="593"/>
      <c r="G97" s="593"/>
      <c r="H97" s="593"/>
      <c r="I97" s="593"/>
      <c r="J97" s="593"/>
      <c r="K97" s="593"/>
      <c r="L97" s="593"/>
      <c r="M97" s="593"/>
    </row>
    <row r="98" spans="1:13">
      <c r="D98" s="1"/>
    </row>
    <row r="99" spans="1:13">
      <c r="D99" s="1"/>
    </row>
    <row r="100" spans="1:13" ht="14.25" hidden="1" customHeight="1">
      <c r="D100" s="1"/>
    </row>
    <row r="101" spans="1:13" ht="14.25" hidden="1" customHeight="1">
      <c r="D101" s="1"/>
    </row>
    <row r="102" spans="1:13" ht="14.25" hidden="1" customHeight="1">
      <c r="D102" s="1"/>
    </row>
    <row r="103" spans="1:13" ht="14.25" hidden="1" customHeight="1">
      <c r="D103" s="1"/>
    </row>
    <row r="104" spans="1:13" ht="14.25" hidden="1" customHeight="1">
      <c r="D104" s="1"/>
    </row>
    <row r="105" spans="1:13" ht="14.25" hidden="1" customHeight="1">
      <c r="D105" s="1"/>
    </row>
    <row r="106" spans="1:13" ht="14.25" hidden="1" customHeight="1">
      <c r="D106" s="1"/>
    </row>
    <row r="107" spans="1:13" ht="14.25" hidden="1" customHeight="1">
      <c r="D107" s="1"/>
    </row>
    <row r="108" spans="1:13" ht="14.25" hidden="1" customHeight="1">
      <c r="D108" s="1"/>
    </row>
    <row r="109" spans="1:13" ht="14.25" hidden="1" customHeight="1">
      <c r="D109" s="1"/>
    </row>
    <row r="110" spans="1:13" ht="14.25" hidden="1" customHeight="1">
      <c r="D110" s="1"/>
    </row>
    <row r="111" spans="1:13" ht="14.25" hidden="1" customHeight="1">
      <c r="D111" s="1"/>
    </row>
    <row r="112" spans="1:13" ht="14.25" hidden="1" customHeight="1">
      <c r="D112" s="1"/>
    </row>
    <row r="113" spans="4:4" ht="14.25" hidden="1" customHeight="1">
      <c r="D113" s="1"/>
    </row>
    <row r="114" spans="4:4" ht="14.25" hidden="1" customHeight="1">
      <c r="D114" s="1"/>
    </row>
    <row r="115" spans="4:4" ht="14.25" hidden="1" customHeight="1">
      <c r="D115" s="1"/>
    </row>
    <row r="116" spans="4:4" ht="14.25" hidden="1" customHeight="1">
      <c r="D116" s="1"/>
    </row>
    <row r="117" spans="4:4" ht="14.25" hidden="1" customHeight="1">
      <c r="D117" s="1"/>
    </row>
    <row r="118" spans="4:4" ht="14.25" hidden="1" customHeight="1">
      <c r="D118" s="1"/>
    </row>
    <row r="119" spans="4:4" ht="14.25" hidden="1" customHeight="1">
      <c r="D119" s="1"/>
    </row>
    <row r="120" spans="4:4" ht="14.25" hidden="1" customHeight="1">
      <c r="D120" s="1"/>
    </row>
    <row r="121" spans="4:4" ht="14.25" hidden="1" customHeight="1">
      <c r="D121" s="1"/>
    </row>
    <row r="122" spans="4:4" ht="14.25" hidden="1" customHeight="1">
      <c r="D122" s="1"/>
    </row>
    <row r="123" spans="4:4" ht="14.25" hidden="1" customHeight="1">
      <c r="D123" s="1"/>
    </row>
    <row r="124" spans="4:4" hidden="1">
      <c r="D124" s="1"/>
    </row>
    <row r="125" spans="4:4" hidden="1">
      <c r="D125" s="1"/>
    </row>
  </sheetData>
  <sheetProtection password="D200" sheet="1" objects="1" scenarios="1"/>
  <mergeCells count="94">
    <mergeCell ref="E6:F6"/>
    <mergeCell ref="F8:G8"/>
    <mergeCell ref="F9:G9"/>
    <mergeCell ref="A97:M97"/>
    <mergeCell ref="F26:G26"/>
    <mergeCell ref="F27:G27"/>
    <mergeCell ref="F28:G28"/>
    <mergeCell ref="F29:G29"/>
    <mergeCell ref="F30:G30"/>
    <mergeCell ref="F37:G37"/>
    <mergeCell ref="F38:G38"/>
    <mergeCell ref="F39:G39"/>
    <mergeCell ref="F40:G40"/>
    <mergeCell ref="F36:G36"/>
    <mergeCell ref="F31:G31"/>
    <mergeCell ref="F32:G32"/>
    <mergeCell ref="B4:G4"/>
    <mergeCell ref="B5:C5"/>
    <mergeCell ref="F23:G23"/>
    <mergeCell ref="F25:G25"/>
    <mergeCell ref="F24:G24"/>
    <mergeCell ref="B6:C6"/>
    <mergeCell ref="F17:G17"/>
    <mergeCell ref="F18:G18"/>
    <mergeCell ref="F19:G19"/>
    <mergeCell ref="F15:G15"/>
    <mergeCell ref="F11:G11"/>
    <mergeCell ref="F12:G12"/>
    <mergeCell ref="F13:G13"/>
    <mergeCell ref="F14:G14"/>
    <mergeCell ref="F10:G10"/>
    <mergeCell ref="E5:F5"/>
    <mergeCell ref="F16:G16"/>
    <mergeCell ref="F35:G35"/>
    <mergeCell ref="F41:G41"/>
    <mergeCell ref="F43:G43"/>
    <mergeCell ref="F42:G42"/>
    <mergeCell ref="F33:G33"/>
    <mergeCell ref="F34:G34"/>
    <mergeCell ref="F20:G20"/>
    <mergeCell ref="F21:G21"/>
    <mergeCell ref="F22:G22"/>
    <mergeCell ref="F48:G48"/>
    <mergeCell ref="F47:G47"/>
    <mergeCell ref="F46:G46"/>
    <mergeCell ref="F45:G45"/>
    <mergeCell ref="F44:G44"/>
    <mergeCell ref="F51:G51"/>
    <mergeCell ref="F50:G50"/>
    <mergeCell ref="F49:G49"/>
    <mergeCell ref="F76:G76"/>
    <mergeCell ref="F75:G75"/>
    <mergeCell ref="F74:G74"/>
    <mergeCell ref="F73:G73"/>
    <mergeCell ref="F72:G72"/>
    <mergeCell ref="F71:G71"/>
    <mergeCell ref="F70:G70"/>
    <mergeCell ref="F57:G57"/>
    <mergeCell ref="F56:G56"/>
    <mergeCell ref="F55:G55"/>
    <mergeCell ref="F54:G54"/>
    <mergeCell ref="F53:G53"/>
    <mergeCell ref="F52:G52"/>
    <mergeCell ref="F58:G58"/>
    <mergeCell ref="F69:G69"/>
    <mergeCell ref="F68:G68"/>
    <mergeCell ref="F67:G67"/>
    <mergeCell ref="F66:G66"/>
    <mergeCell ref="F65:G65"/>
    <mergeCell ref="F64:G64"/>
    <mergeCell ref="F63:G63"/>
    <mergeCell ref="F62:G62"/>
    <mergeCell ref="F61:G61"/>
    <mergeCell ref="F60:G60"/>
    <mergeCell ref="F59:G59"/>
    <mergeCell ref="F78:G78"/>
    <mergeCell ref="F77:G77"/>
    <mergeCell ref="F87:G87"/>
    <mergeCell ref="F90:G90"/>
    <mergeCell ref="F89:G89"/>
    <mergeCell ref="F88:G88"/>
    <mergeCell ref="F86:G86"/>
    <mergeCell ref="F85:G85"/>
    <mergeCell ref="F84:G84"/>
    <mergeCell ref="F80:G80"/>
    <mergeCell ref="F83:G83"/>
    <mergeCell ref="F82:G82"/>
    <mergeCell ref="F81:G81"/>
    <mergeCell ref="F79:G79"/>
    <mergeCell ref="F95:G95"/>
    <mergeCell ref="F94:G94"/>
    <mergeCell ref="F93:G93"/>
    <mergeCell ref="F92:G92"/>
    <mergeCell ref="F91:G91"/>
  </mergeCells>
  <phoneticPr fontId="2" type="noConversion"/>
  <printOptions horizontalCentered="1"/>
  <pageMargins left="0.15748031496062992" right="0.15748031496062992" top="0.39370078740157483" bottom="0.39370078740157483" header="0.51181102362204722" footer="0.51181102362204722"/>
  <pageSetup paperSize="9" scale="5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sheetPr>
    <tabColor rgb="FF92D050"/>
    <pageSetUpPr fitToPage="1"/>
  </sheetPr>
  <dimension ref="A1:V126"/>
  <sheetViews>
    <sheetView topLeftCell="B13" zoomScaleNormal="100" workbookViewId="0">
      <selection activeCell="C8" sqref="C8"/>
    </sheetView>
  </sheetViews>
  <sheetFormatPr defaultColWidth="0" defaultRowHeight="15" zeroHeight="1"/>
  <cols>
    <col min="1" max="1" width="0" hidden="1" customWidth="1"/>
    <col min="2" max="2" width="15.77734375" style="284" customWidth="1"/>
    <col min="3" max="3" width="18.21875" style="8" customWidth="1"/>
    <col min="4" max="4" width="15.109375" style="2" customWidth="1"/>
    <col min="5" max="5" width="20.44140625" style="284" customWidth="1"/>
    <col min="6" max="6" width="10.109375" style="284" customWidth="1"/>
    <col min="7" max="7" width="10" style="19" customWidth="1"/>
    <col min="8" max="8" width="10" hidden="1" customWidth="1"/>
    <col min="9" max="9" width="7.6640625" hidden="1" customWidth="1"/>
    <col min="10" max="10" width="5.5546875" hidden="1" customWidth="1"/>
    <col min="11" max="11" width="6" hidden="1" customWidth="1"/>
    <col min="12" max="18" width="10" hidden="1" customWidth="1"/>
    <col min="19" max="19" width="2.77734375" hidden="1" customWidth="1"/>
    <col min="20" max="22" width="10" hidden="1" customWidth="1"/>
    <col min="23" max="16369" width="10" customWidth="1"/>
    <col min="16370" max="16370" width="5.109375" customWidth="1"/>
    <col min="16371" max="16371" width="7" customWidth="1"/>
    <col min="16372" max="16373" width="3.21875" customWidth="1"/>
    <col min="16374" max="16374" width="4.44140625" customWidth="1"/>
    <col min="16375" max="16375" width="4.88671875" customWidth="1"/>
    <col min="16376" max="16376" width="2.77734375" customWidth="1"/>
    <col min="16377" max="16377" width="4" customWidth="1"/>
    <col min="16378" max="16378" width="4.88671875" customWidth="1"/>
    <col min="16379" max="16379" width="3.77734375" customWidth="1"/>
    <col min="16380" max="16380" width="3.33203125" customWidth="1"/>
    <col min="16381" max="16381" width="4.6640625" customWidth="1"/>
    <col min="16382" max="16382" width="4" customWidth="1"/>
    <col min="16383" max="16383" width="5.33203125" customWidth="1"/>
    <col min="16384" max="16384" width="5.21875" customWidth="1"/>
  </cols>
  <sheetData>
    <row r="1" spans="2:11"/>
    <row r="2" spans="2:11"/>
    <row r="3" spans="2:11" ht="15.75" thickBot="1"/>
    <row r="4" spans="2:11">
      <c r="B4" s="680" t="s">
        <v>249</v>
      </c>
      <c r="C4" s="681"/>
      <c r="D4" s="681"/>
      <c r="E4" s="681"/>
      <c r="F4" s="681"/>
      <c r="G4" s="682"/>
      <c r="I4" s="17"/>
      <c r="J4" s="17"/>
    </row>
    <row r="5" spans="2:11" ht="30" customHeight="1">
      <c r="B5" s="683" t="s">
        <v>248</v>
      </c>
      <c r="C5" s="684"/>
      <c r="D5" s="70">
        <f>PONUDA3Mili6M!$H$10</f>
        <v>30000</v>
      </c>
      <c r="E5" s="676" t="s">
        <v>247</v>
      </c>
      <c r="F5" s="677"/>
      <c r="G5" s="286">
        <f>Ponuda1M!$H$18</f>
        <v>22500</v>
      </c>
      <c r="H5" s="16"/>
      <c r="I5" s="94">
        <f>J9/12</f>
        <v>5.45E-3</v>
      </c>
      <c r="J5" s="304"/>
      <c r="K5" s="289"/>
    </row>
    <row r="6" spans="2:11" ht="32.25" customHeight="1" thickBot="1">
      <c r="B6" s="685" t="s">
        <v>246</v>
      </c>
      <c r="C6" s="686"/>
      <c r="D6" s="303">
        <f>PONUDA3Mili6M!$F$15</f>
        <v>0.1</v>
      </c>
      <c r="E6" s="678" t="s">
        <v>245</v>
      </c>
      <c r="F6" s="679"/>
      <c r="G6" s="302">
        <f>PONUDA3Mili6M!$H$23</f>
        <v>10</v>
      </c>
      <c r="H6" s="16">
        <f>PONUDA3Mili6M!$H$23</f>
        <v>10</v>
      </c>
      <c r="I6" s="97">
        <f>PONUDA3Mili6M!$H$23</f>
        <v>10</v>
      </c>
      <c r="J6" s="292"/>
      <c r="K6" s="290"/>
    </row>
    <row r="7" spans="2:11" ht="9" customHeight="1" thickBot="1">
      <c r="B7" s="301"/>
      <c r="C7" s="298"/>
      <c r="D7" s="300"/>
      <c r="E7" s="299"/>
      <c r="F7" s="298"/>
      <c r="G7" s="297"/>
      <c r="H7" s="16"/>
      <c r="I7" s="100">
        <f>IF(Pricing!B7=2,(G5*J9/12)*6,(G5*J9/12)*3)</f>
        <v>735.75</v>
      </c>
      <c r="J7" s="292"/>
      <c r="K7" s="289"/>
    </row>
    <row r="8" spans="2:11" ht="60" customHeight="1">
      <c r="B8" s="296" t="s">
        <v>244</v>
      </c>
      <c r="C8" s="295" t="s">
        <v>243</v>
      </c>
      <c r="D8" s="295" t="s">
        <v>242</v>
      </c>
      <c r="E8" s="294" t="s">
        <v>241</v>
      </c>
      <c r="F8" s="687" t="s">
        <v>240</v>
      </c>
      <c r="G8" s="688"/>
      <c r="I8" s="293"/>
      <c r="J8" s="292"/>
      <c r="K8" s="289"/>
    </row>
    <row r="9" spans="2:11">
      <c r="B9" s="6"/>
      <c r="C9" s="7"/>
      <c r="D9" s="7"/>
      <c r="E9" s="7"/>
      <c r="F9" s="674">
        <f>G5</f>
        <v>22500</v>
      </c>
      <c r="G9" s="675"/>
      <c r="I9" s="102" t="s">
        <v>13</v>
      </c>
      <c r="J9" s="103">
        <f>Kalkulator!$K$8</f>
        <v>6.54E-2</v>
      </c>
      <c r="K9" s="289"/>
    </row>
    <row r="10" spans="2:11">
      <c r="B10" s="15">
        <v>1</v>
      </c>
      <c r="C10" s="70">
        <f>IF(B10&gt;G6,0,Kalkulator!F95)</f>
        <v>2674.1596194747062</v>
      </c>
      <c r="D10" s="70">
        <f>I7</f>
        <v>735.75</v>
      </c>
      <c r="E10" s="285">
        <f t="shared" ref="E10:E29" si="0">+C10-D10</f>
        <v>1938.4096194747062</v>
      </c>
      <c r="F10" s="663">
        <f>IF(B10&gt;G6, 0,F9-E10)</f>
        <v>20561.590380525293</v>
      </c>
      <c r="G10" s="664"/>
      <c r="I10" s="104" t="s">
        <v>14</v>
      </c>
      <c r="J10" s="105">
        <f>Kalkulator!$K$9</f>
        <v>5.0000000000000001E-3</v>
      </c>
      <c r="K10" s="289"/>
    </row>
    <row r="11" spans="2:11">
      <c r="B11" s="14">
        <v>2</v>
      </c>
      <c r="C11" s="70">
        <f>IF(B11&gt;G6,0,Kalkulator!F95)</f>
        <v>2674.1596194747062</v>
      </c>
      <c r="D11" s="70">
        <f>IF(Pricing!B7=1,+F10*I5*3,+F10*I5*6)</f>
        <v>672.36400544317712</v>
      </c>
      <c r="E11" s="285">
        <f t="shared" si="0"/>
        <v>2001.7956140315291</v>
      </c>
      <c r="F11" s="663">
        <f>IF(B11&gt;G6, 0,F10-E11)</f>
        <v>18559.794766493764</v>
      </c>
      <c r="G11" s="664"/>
      <c r="H11" s="18"/>
      <c r="I11" s="291"/>
      <c r="J11" s="291"/>
      <c r="K11" s="290"/>
    </row>
    <row r="12" spans="2:11">
      <c r="B12" s="14">
        <v>3</v>
      </c>
      <c r="C12" s="70">
        <f>IF(B12&gt;G6,0,Kalkulator!F95)</f>
        <v>2674.1596194747062</v>
      </c>
      <c r="D12" s="70">
        <f>IF(Pricing!B7=1,+F11*I5*3,+F11*I5*6)</f>
        <v>606.90528886434606</v>
      </c>
      <c r="E12" s="285">
        <f t="shared" si="0"/>
        <v>2067.2543306103603</v>
      </c>
      <c r="F12" s="663">
        <f>IF(B12&gt;G6, 0,F11-E12)</f>
        <v>16492.540435883402</v>
      </c>
      <c r="G12" s="664"/>
      <c r="I12" s="289"/>
      <c r="J12" s="289"/>
      <c r="K12" s="289"/>
    </row>
    <row r="13" spans="2:11">
      <c r="B13" s="14">
        <v>4</v>
      </c>
      <c r="C13" s="70">
        <f>IF(B13&gt;G6,0,Kalkulator!F95)</f>
        <v>2674.1596194747062</v>
      </c>
      <c r="D13" s="70">
        <f>IF(Pricing!B7=1,+F12*I5*3,+F12*I5*6)</f>
        <v>539.30607225338724</v>
      </c>
      <c r="E13" s="285">
        <f t="shared" si="0"/>
        <v>2134.8535472213189</v>
      </c>
      <c r="F13" s="663">
        <f>IF(B13&gt;G6, 0,F12-E13)</f>
        <v>14357.686888662083</v>
      </c>
      <c r="G13" s="664"/>
    </row>
    <row r="14" spans="2:11">
      <c r="B14" s="14">
        <v>5</v>
      </c>
      <c r="C14" s="70">
        <f>IF(B14&gt;G6,0,Kalkulator!F95)</f>
        <v>2674.1596194747062</v>
      </c>
      <c r="D14" s="70">
        <f>IF(Pricing!B7=1,+F13*I5*3,+F13*I5*6)</f>
        <v>469.49636125925014</v>
      </c>
      <c r="E14" s="285">
        <f t="shared" si="0"/>
        <v>2204.6632582154562</v>
      </c>
      <c r="F14" s="663">
        <f>IF(B14&gt;G6, 0,F13-E14)</f>
        <v>12153.023630446627</v>
      </c>
      <c r="G14" s="664"/>
    </row>
    <row r="15" spans="2:11">
      <c r="B15" s="14">
        <v>6</v>
      </c>
      <c r="C15" s="70">
        <f>IF(B15&gt;G6,0,Kalkulator!F95)</f>
        <v>2674.1596194747062</v>
      </c>
      <c r="D15" s="70">
        <f>IF(Pricing!B7=1,+F14*I5*3,+F14*I5*6)</f>
        <v>397.40387271560468</v>
      </c>
      <c r="E15" s="285">
        <f t="shared" si="0"/>
        <v>2276.7557467591014</v>
      </c>
      <c r="F15" s="663">
        <f>IF(B15&gt;G6, 0,F14-E15)</f>
        <v>9876.2678836875257</v>
      </c>
      <c r="G15" s="664"/>
    </row>
    <row r="16" spans="2:11">
      <c r="B16" s="14">
        <v>7</v>
      </c>
      <c r="C16" s="70">
        <f>IF(B16&gt;G6,0,Kalkulator!F95)</f>
        <v>2674.1596194747062</v>
      </c>
      <c r="D16" s="70">
        <f>IF(Pricing!B7=1,+F15*I5*3,+F15*I5*6)</f>
        <v>322.95395979658207</v>
      </c>
      <c r="E16" s="285">
        <f t="shared" si="0"/>
        <v>2351.205659678124</v>
      </c>
      <c r="F16" s="663">
        <f>IF(B16&gt;G6, 0,F15-E16)</f>
        <v>7525.0622240094017</v>
      </c>
      <c r="G16" s="664"/>
    </row>
    <row r="17" spans="2:7">
      <c r="B17" s="14">
        <v>8</v>
      </c>
      <c r="C17" s="70">
        <f>IF(B17&gt;G6,0,Kalkulator!F95)</f>
        <v>2674.1596194747062</v>
      </c>
      <c r="D17" s="70">
        <f>IF(Pricing!B7=1,+F16*I5*3,+F16*I5*6)</f>
        <v>246.06953472510745</v>
      </c>
      <c r="E17" s="285">
        <f t="shared" si="0"/>
        <v>2428.0900847495986</v>
      </c>
      <c r="F17" s="663">
        <f>IF(B17&gt;G6, 0,F16-E17)</f>
        <v>5096.972139259803</v>
      </c>
      <c r="G17" s="664"/>
    </row>
    <row r="18" spans="2:7">
      <c r="B18" s="14">
        <v>9</v>
      </c>
      <c r="C18" s="70">
        <f>IF(B18&gt;G6,0,Kalkulator!F95)</f>
        <v>2674.1596194747062</v>
      </c>
      <c r="D18" s="70">
        <f>IF(Pricing!B7=1,+F17*I5*3,+F17*I5*6)</f>
        <v>166.67098895379556</v>
      </c>
      <c r="E18" s="285">
        <f t="shared" si="0"/>
        <v>2507.4886305209106</v>
      </c>
      <c r="F18" s="663">
        <f>IF(B18&gt;G6, 0,F17-E18)</f>
        <v>2589.4835087388924</v>
      </c>
      <c r="G18" s="664"/>
    </row>
    <row r="19" spans="2:7">
      <c r="B19" s="14">
        <v>10</v>
      </c>
      <c r="C19" s="70">
        <f>IF(B19&gt;G6,0,Kalkulator!F95)</f>
        <v>2674.1596194747062</v>
      </c>
      <c r="D19" s="70">
        <f>IF(Pricing!B7=1,+F18*I5*3,+F18*I5*6)</f>
        <v>84.676110735761782</v>
      </c>
      <c r="E19" s="285">
        <f t="shared" si="0"/>
        <v>2589.4835087389442</v>
      </c>
      <c r="F19" s="663">
        <f>IF(B19&gt;G6, 0,F18-E19)</f>
        <v>-5.184119800105691E-11</v>
      </c>
      <c r="G19" s="664"/>
    </row>
    <row r="20" spans="2:7">
      <c r="B20" s="14">
        <v>11</v>
      </c>
      <c r="C20" s="70">
        <f>IF(B20&gt;G6,0,Kalkulator!F95)</f>
        <v>0</v>
      </c>
      <c r="D20" s="70">
        <f>IF(Pricing!B7=1,+F19*I5*3,+F19*I5*6)</f>
        <v>-1.6952071746345608E-12</v>
      </c>
      <c r="E20" s="285">
        <f t="shared" si="0"/>
        <v>1.6952071746345608E-12</v>
      </c>
      <c r="F20" s="663">
        <f>IF(B20&gt;G6, 0,F19-E20)</f>
        <v>0</v>
      </c>
      <c r="G20" s="664"/>
    </row>
    <row r="21" spans="2:7">
      <c r="B21" s="14">
        <v>12</v>
      </c>
      <c r="C21" s="70">
        <f>IF(B21&gt;G6,0,Kalkulator!F95)</f>
        <v>0</v>
      </c>
      <c r="D21" s="70">
        <f>IF(Pricing!B7=1,+F20*I5*3,+F20*I5*6)</f>
        <v>0</v>
      </c>
      <c r="E21" s="285">
        <f t="shared" si="0"/>
        <v>0</v>
      </c>
      <c r="F21" s="663">
        <f>IF(B21&gt;G6, 0,F20-E21)</f>
        <v>0</v>
      </c>
      <c r="G21" s="664"/>
    </row>
    <row r="22" spans="2:7">
      <c r="B22" s="14">
        <v>13</v>
      </c>
      <c r="C22" s="70">
        <f>IF(B22&gt;G6,0,Kalkulator!F95)</f>
        <v>0</v>
      </c>
      <c r="D22" s="70">
        <f>IF(Pricing!B7=1,+F21*I5*3,+F21*I5*6)</f>
        <v>0</v>
      </c>
      <c r="E22" s="285">
        <f t="shared" si="0"/>
        <v>0</v>
      </c>
      <c r="F22" s="663">
        <f>IF(B22&gt;G6, 0,F21-E22)</f>
        <v>0</v>
      </c>
      <c r="G22" s="664"/>
    </row>
    <row r="23" spans="2:7">
      <c r="B23" s="14">
        <v>14</v>
      </c>
      <c r="C23" s="70">
        <f>IF(B23&gt;G6,0,Kalkulator!F95)</f>
        <v>0</v>
      </c>
      <c r="D23" s="70">
        <f>IF(Pricing!B7=1,+F22*I5*3,+F22*I5*6)</f>
        <v>0</v>
      </c>
      <c r="E23" s="285">
        <f t="shared" si="0"/>
        <v>0</v>
      </c>
      <c r="F23" s="663">
        <f>IF(B23&gt;G6, 0,F22-E23)</f>
        <v>0</v>
      </c>
      <c r="G23" s="664"/>
    </row>
    <row r="24" spans="2:7">
      <c r="B24" s="14">
        <v>15</v>
      </c>
      <c r="C24" s="70">
        <f>IF(B24&gt;G6,0,Kalkulator!F95)</f>
        <v>0</v>
      </c>
      <c r="D24" s="70">
        <f>IF(Pricing!B7=1,+F23*I5*3,+F23*I5*6)</f>
        <v>0</v>
      </c>
      <c r="E24" s="285">
        <f t="shared" si="0"/>
        <v>0</v>
      </c>
      <c r="F24" s="663">
        <f>IF(B24&gt;G6, 0,F23-E24)</f>
        <v>0</v>
      </c>
      <c r="G24" s="664"/>
    </row>
    <row r="25" spans="2:7">
      <c r="B25" s="14">
        <v>16</v>
      </c>
      <c r="C25" s="70">
        <f>IF(B25&gt;G6,0,Kalkulator!F95)</f>
        <v>0</v>
      </c>
      <c r="D25" s="70">
        <f>IF(Pricing!B7=1,+F24*I5*3,+F24*I5*6)</f>
        <v>0</v>
      </c>
      <c r="E25" s="285">
        <f t="shared" si="0"/>
        <v>0</v>
      </c>
      <c r="F25" s="663">
        <f>IF(B25&gt;G6, 0,F24-E25)</f>
        <v>0</v>
      </c>
      <c r="G25" s="664"/>
    </row>
    <row r="26" spans="2:7">
      <c r="B26" s="14">
        <v>17</v>
      </c>
      <c r="C26" s="70">
        <f>IF(B26&gt;G6,0,Kalkulator!F95)</f>
        <v>0</v>
      </c>
      <c r="D26" s="70">
        <f>IF(Pricing!B7=1,+F25*I5*3,+F25*I5*6)</f>
        <v>0</v>
      </c>
      <c r="E26" s="285">
        <f t="shared" si="0"/>
        <v>0</v>
      </c>
      <c r="F26" s="663">
        <f>IF(B26&gt;G6, 0,F25-E26)</f>
        <v>0</v>
      </c>
      <c r="G26" s="664"/>
    </row>
    <row r="27" spans="2:7">
      <c r="B27" s="14">
        <v>18</v>
      </c>
      <c r="C27" s="70">
        <f>IF(B27&gt;G6,0,Kalkulator!F95)</f>
        <v>0</v>
      </c>
      <c r="D27" s="70">
        <f>IF(Pricing!B7=1,+F26*I5*3,+F26*I5*6)</f>
        <v>0</v>
      </c>
      <c r="E27" s="285">
        <f t="shared" si="0"/>
        <v>0</v>
      </c>
      <c r="F27" s="663">
        <f>IF(B27&gt;G6, 0,F26-E27)</f>
        <v>0</v>
      </c>
      <c r="G27" s="664"/>
    </row>
    <row r="28" spans="2:7">
      <c r="B28" s="14">
        <v>19</v>
      </c>
      <c r="C28" s="70">
        <f>IF(B28&gt;G6,0,Kalkulator!F95)</f>
        <v>0</v>
      </c>
      <c r="D28" s="70">
        <f>IF(Pricing!B7=1,+F27*I5*3,+F27*I5*6)</f>
        <v>0</v>
      </c>
      <c r="E28" s="285">
        <f t="shared" si="0"/>
        <v>0</v>
      </c>
      <c r="F28" s="663">
        <f>IF(B28&gt;G6, 0,F27-E28)</f>
        <v>0</v>
      </c>
      <c r="G28" s="664"/>
    </row>
    <row r="29" spans="2:7">
      <c r="B29" s="14">
        <v>20</v>
      </c>
      <c r="C29" s="70">
        <f>IF(B29&gt;G6,0,Kalkulator!F95)</f>
        <v>0</v>
      </c>
      <c r="D29" s="70">
        <f>IF(Pricing!B7=1,+F28*I5*3,+F28*I5*6)</f>
        <v>0</v>
      </c>
      <c r="E29" s="285">
        <f t="shared" si="0"/>
        <v>0</v>
      </c>
      <c r="F29" s="663">
        <f>IF(B29&gt;G6, 0,F28-E29)</f>
        <v>0</v>
      </c>
      <c r="G29" s="664"/>
    </row>
    <row r="30" spans="2:7">
      <c r="B30" s="14">
        <v>21</v>
      </c>
      <c r="C30" s="70"/>
      <c r="D30" s="70"/>
      <c r="E30" s="399"/>
      <c r="F30" s="399"/>
      <c r="G30" s="400"/>
    </row>
    <row r="31" spans="2:7">
      <c r="B31" s="72" t="s">
        <v>83</v>
      </c>
      <c r="C31" s="70"/>
      <c r="D31" s="70"/>
      <c r="E31" s="70">
        <v>0</v>
      </c>
      <c r="F31" s="661"/>
      <c r="G31" s="662"/>
    </row>
    <row r="32" spans="2:7" ht="15.75" thickBot="1">
      <c r="B32" s="10" t="s">
        <v>84</v>
      </c>
      <c r="C32" s="73">
        <f>SUM(C10:C29)</f>
        <v>26741.596194747068</v>
      </c>
      <c r="D32" s="73">
        <f>SUM(D10:D29)</f>
        <v>4241.5961947470105</v>
      </c>
      <c r="E32" s="73">
        <f>SUM(E10:E31)</f>
        <v>22500.000000000051</v>
      </c>
      <c r="F32" s="659">
        <f>C32-D32-E32</f>
        <v>0</v>
      </c>
      <c r="G32" s="660"/>
    </row>
    <row r="33" spans="2:7" ht="15.75" thickBot="1">
      <c r="B33" s="21"/>
      <c r="C33" s="74"/>
      <c r="D33" s="65"/>
      <c r="E33" s="21"/>
      <c r="F33" s="21"/>
      <c r="G33" s="66"/>
    </row>
    <row r="34" spans="2:7" ht="17.25">
      <c r="B34" s="689" t="s">
        <v>239</v>
      </c>
      <c r="C34" s="689"/>
      <c r="D34" s="689"/>
      <c r="E34" s="689"/>
      <c r="F34" s="689"/>
      <c r="G34" s="689"/>
    </row>
    <row r="35" spans="2:7">
      <c r="D35" s="284"/>
    </row>
    <row r="36" spans="2:7">
      <c r="D36" s="284"/>
    </row>
    <row r="37" spans="2:7">
      <c r="D37" s="284"/>
    </row>
    <row r="38" spans="2:7">
      <c r="D38" s="284"/>
    </row>
    <row r="39" spans="2:7">
      <c r="D39" s="284"/>
    </row>
    <row r="40" spans="2:7">
      <c r="D40" s="284"/>
    </row>
    <row r="41" spans="2:7">
      <c r="D41" s="284"/>
    </row>
    <row r="42" spans="2:7">
      <c r="D42" s="284"/>
    </row>
    <row r="43" spans="2:7">
      <c r="D43" s="284"/>
    </row>
    <row r="44" spans="2:7">
      <c r="D44" s="284"/>
    </row>
    <row r="45" spans="2:7">
      <c r="D45" s="284"/>
    </row>
    <row r="46" spans="2:7">
      <c r="D46" s="284"/>
    </row>
    <row r="47" spans="2:7">
      <c r="D47" s="284"/>
    </row>
    <row r="48" spans="2:7">
      <c r="D48" s="284"/>
    </row>
    <row r="49" spans="2:7">
      <c r="D49" s="284"/>
    </row>
    <row r="50" spans="2:7">
      <c r="B50"/>
      <c r="C50"/>
      <c r="D50" s="284"/>
      <c r="E50"/>
      <c r="F50"/>
      <c r="G50"/>
    </row>
    <row r="51" spans="2:7">
      <c r="B51"/>
      <c r="C51"/>
      <c r="D51" s="284"/>
      <c r="E51"/>
      <c r="F51"/>
      <c r="G51"/>
    </row>
    <row r="52" spans="2:7">
      <c r="B52"/>
      <c r="C52"/>
      <c r="D52" s="284"/>
      <c r="E52"/>
      <c r="F52"/>
      <c r="G52"/>
    </row>
    <row r="53" spans="2:7">
      <c r="B53"/>
      <c r="C53"/>
      <c r="D53" s="284"/>
      <c r="E53"/>
      <c r="F53"/>
      <c r="G53"/>
    </row>
    <row r="54" spans="2:7">
      <c r="B54"/>
      <c r="C54"/>
      <c r="D54" s="284"/>
      <c r="E54"/>
      <c r="F54"/>
      <c r="G54"/>
    </row>
    <row r="55" spans="2:7">
      <c r="B55"/>
      <c r="C55"/>
      <c r="D55" s="284"/>
      <c r="E55"/>
      <c r="F55"/>
      <c r="G55"/>
    </row>
    <row r="56" spans="2:7">
      <c r="B56"/>
      <c r="C56"/>
      <c r="D56" s="284"/>
      <c r="E56"/>
      <c r="F56"/>
      <c r="G56"/>
    </row>
    <row r="57" spans="2:7">
      <c r="B57"/>
      <c r="C57"/>
      <c r="D57" s="284"/>
      <c r="E57"/>
      <c r="F57"/>
      <c r="G57"/>
    </row>
    <row r="58" spans="2:7">
      <c r="B58"/>
      <c r="C58"/>
      <c r="D58" s="284"/>
      <c r="E58"/>
      <c r="F58"/>
      <c r="G58"/>
    </row>
    <row r="59" spans="2:7">
      <c r="B59"/>
      <c r="C59"/>
      <c r="D59" s="284"/>
      <c r="E59"/>
      <c r="F59"/>
      <c r="G59"/>
    </row>
    <row r="60" spans="2:7">
      <c r="B60"/>
      <c r="C60"/>
      <c r="D60" s="284"/>
      <c r="E60"/>
      <c r="F60"/>
      <c r="G60"/>
    </row>
    <row r="61" spans="2:7">
      <c r="B61"/>
      <c r="C61"/>
      <c r="D61" s="284"/>
      <c r="E61"/>
      <c r="F61"/>
      <c r="G61"/>
    </row>
    <row r="62" spans="2:7">
      <c r="B62"/>
      <c r="C62"/>
      <c r="D62" s="284"/>
      <c r="E62"/>
      <c r="F62"/>
      <c r="G62"/>
    </row>
    <row r="63" spans="2:7"/>
    <row r="64" spans="2:7"/>
    <row r="65"/>
    <row r="66"/>
    <row r="67"/>
    <row r="68"/>
    <row r="69"/>
    <row r="70"/>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row r="96"/>
    <row r="97" spans="1:13" ht="15.75" thickBot="1">
      <c r="A97" s="64"/>
    </row>
    <row r="98" spans="1:13" ht="17.25">
      <c r="A98" s="288" t="s">
        <v>19</v>
      </c>
      <c r="H98" s="288"/>
      <c r="I98" s="288"/>
      <c r="J98" s="288"/>
      <c r="K98" s="288"/>
      <c r="L98" s="288"/>
      <c r="M98" s="288"/>
    </row>
    <row r="99" spans="1:13"/>
    <row r="100" spans="1:13"/>
    <row r="101" spans="1:13" ht="14.25" hidden="1" customHeight="1"/>
    <row r="102" spans="1:13" ht="14.25" hidden="1" customHeight="1"/>
    <row r="103" spans="1:13" ht="14.25" hidden="1" customHeight="1"/>
    <row r="104" spans="1:13" ht="14.25" hidden="1" customHeight="1"/>
    <row r="105" spans="1:13" ht="14.25" hidden="1" customHeight="1"/>
    <row r="106" spans="1:13" ht="14.25" hidden="1" customHeight="1"/>
    <row r="107" spans="1:13" ht="14.25" hidden="1" customHeight="1"/>
    <row r="108" spans="1:13" ht="14.25" hidden="1" customHeight="1"/>
    <row r="109" spans="1:13" ht="14.25" hidden="1" customHeight="1"/>
    <row r="110" spans="1:13" ht="14.25" hidden="1" customHeight="1"/>
    <row r="111" spans="1:13" ht="14.25" hidden="1" customHeight="1"/>
    <row r="112" spans="1:13" ht="14.25" hidden="1" customHeight="1"/>
    <row r="113" ht="14.25" hidden="1" customHeight="1"/>
    <row r="114" ht="14.25" hidden="1" customHeight="1"/>
    <row r="115" ht="14.25" hidden="1" customHeight="1"/>
    <row r="116" ht="14.25" hidden="1" customHeight="1"/>
    <row r="117" ht="14.25" hidden="1" customHeight="1"/>
    <row r="118" ht="14.25" hidden="1" customHeight="1"/>
    <row r="119" ht="14.25" hidden="1" customHeight="1"/>
    <row r="120" ht="14.25" hidden="1" customHeight="1"/>
    <row r="121" ht="14.25" hidden="1" customHeight="1"/>
    <row r="122" ht="14.25" hidden="1" customHeight="1"/>
    <row r="123" ht="14.25" hidden="1" customHeight="1"/>
    <row r="124" ht="14.25" hidden="1" customHeight="1"/>
    <row r="125" hidden="1"/>
    <row r="126" hidden="1"/>
  </sheetData>
  <sheetProtection password="D200" sheet="1" objects="1" scenarios="1"/>
  <mergeCells count="30">
    <mergeCell ref="F28:G28"/>
    <mergeCell ref="F29:G29"/>
    <mergeCell ref="B34:G34"/>
    <mergeCell ref="F13:G13"/>
    <mergeCell ref="F14:G14"/>
    <mergeCell ref="F26:G26"/>
    <mergeCell ref="F27:G27"/>
    <mergeCell ref="F20:G20"/>
    <mergeCell ref="F21:G21"/>
    <mergeCell ref="F22:G22"/>
    <mergeCell ref="F16:G16"/>
    <mergeCell ref="F25:G25"/>
    <mergeCell ref="F24:G24"/>
    <mergeCell ref="F32:G32"/>
    <mergeCell ref="F31:G31"/>
    <mergeCell ref="E5:F5"/>
    <mergeCell ref="E6:F6"/>
    <mergeCell ref="B4:G4"/>
    <mergeCell ref="B5:C5"/>
    <mergeCell ref="F23:G23"/>
    <mergeCell ref="B6:C6"/>
    <mergeCell ref="F17:G17"/>
    <mergeCell ref="F18:G18"/>
    <mergeCell ref="F19:G19"/>
    <mergeCell ref="F15:G15"/>
    <mergeCell ref="F10:G10"/>
    <mergeCell ref="F8:G8"/>
    <mergeCell ref="F9:G9"/>
    <mergeCell ref="F11:G11"/>
    <mergeCell ref="F12:G12"/>
  </mergeCells>
  <printOptions horizontalCentered="1"/>
  <pageMargins left="0.15748031496062992" right="0.15748031496062992" top="0.39370078740157483" bottom="0.39370078740157483" header="0.51181102362204722" footer="0.51181102362204722"/>
  <pageSetup paperSize="9" scale="95" orientation="portrait" r:id="rId1"/>
  <headerFooter alignWithMargins="0"/>
  <drawing r:id="rId2"/>
</worksheet>
</file>

<file path=xl/worksheets/sheet8.xml><?xml version="1.0" encoding="utf-8"?>
<worksheet xmlns="http://schemas.openxmlformats.org/spreadsheetml/2006/main" xmlns:r="http://schemas.openxmlformats.org/officeDocument/2006/relationships">
  <sheetPr codeName="Sheet3"/>
  <dimension ref="A1:F31"/>
  <sheetViews>
    <sheetView showGridLines="0" workbookViewId="0">
      <selection activeCell="B2" sqref="B2"/>
    </sheetView>
  </sheetViews>
  <sheetFormatPr defaultRowHeight="12.75"/>
  <cols>
    <col min="1" max="2" width="8.88671875" style="136"/>
    <col min="3" max="3" width="25.77734375" style="136" customWidth="1"/>
    <col min="4" max="4" width="28" style="136" customWidth="1"/>
    <col min="5" max="5" width="3.109375" style="136" customWidth="1"/>
    <col min="6" max="6" width="24.77734375" style="136" customWidth="1"/>
    <col min="7" max="7" width="27" style="136" customWidth="1"/>
    <col min="8" max="11" width="8.88671875" style="136" customWidth="1"/>
    <col min="12" max="16384" width="8.88671875" style="136"/>
  </cols>
  <sheetData>
    <row r="1" spans="1:6" ht="12" customHeight="1">
      <c r="F1" s="137" t="s">
        <v>119</v>
      </c>
    </row>
    <row r="2" spans="1:6" ht="12" customHeight="1" thickBot="1">
      <c r="B2" s="315"/>
      <c r="C2" s="315"/>
      <c r="D2" s="315"/>
      <c r="E2" s="315"/>
      <c r="F2" s="316" t="s">
        <v>120</v>
      </c>
    </row>
    <row r="3" spans="1:6" ht="12" customHeight="1" thickBot="1">
      <c r="B3" s="315"/>
      <c r="C3" s="317" t="s">
        <v>106</v>
      </c>
      <c r="D3" s="318" t="str">
        <f>Kalkulator!C9</f>
        <v>Viljuskar</v>
      </c>
      <c r="E3" s="315"/>
      <c r="F3" s="316" t="s">
        <v>128</v>
      </c>
    </row>
    <row r="4" spans="1:6" ht="12" customHeight="1" thickBot="1">
      <c r="B4" s="315"/>
      <c r="C4" s="317" t="s">
        <v>107</v>
      </c>
      <c r="D4" s="319">
        <f>Kalkulator!C17</f>
        <v>30000</v>
      </c>
      <c r="E4" s="315"/>
      <c r="F4" s="316" t="s">
        <v>127</v>
      </c>
    </row>
    <row r="5" spans="1:6" ht="12" customHeight="1" thickBot="1">
      <c r="B5" s="315"/>
      <c r="C5" s="318" t="s">
        <v>112</v>
      </c>
      <c r="D5" s="395" t="str">
        <f>IF(Kalkulator!F5=1,"OPREMA","VOZILO")</f>
        <v>VOZILO</v>
      </c>
      <c r="E5" s="315"/>
      <c r="F5" s="316" t="s">
        <v>121</v>
      </c>
    </row>
    <row r="6" spans="1:6" ht="12" customHeight="1" thickBot="1">
      <c r="B6" s="315"/>
      <c r="C6" s="690"/>
      <c r="D6" s="690"/>
      <c r="E6" s="315"/>
      <c r="F6" s="316" t="s">
        <v>122</v>
      </c>
    </row>
    <row r="7" spans="1:6" ht="12" customHeight="1" thickBot="1">
      <c r="B7" s="315"/>
      <c r="C7" s="317" t="s">
        <v>108</v>
      </c>
      <c r="D7" s="318" t="s">
        <v>109</v>
      </c>
      <c r="E7" s="315"/>
      <c r="F7" s="315" t="s">
        <v>123</v>
      </c>
    </row>
    <row r="8" spans="1:6" ht="12" customHeight="1">
      <c r="A8" s="138" t="s">
        <v>110</v>
      </c>
      <c r="B8" s="320" t="s">
        <v>111</v>
      </c>
      <c r="C8" s="691"/>
      <c r="D8" s="691"/>
      <c r="E8" s="315"/>
      <c r="F8" s="316" t="s">
        <v>124</v>
      </c>
    </row>
    <row r="9" spans="1:6" ht="12" customHeight="1">
      <c r="A9" s="139">
        <v>6</v>
      </c>
      <c r="B9" s="321">
        <f>IF(D5=F1,92%,IF(D5=F2,91%,IF(D5=F3,90%,IF(D5=F4,85%,IF(D5=F5,88.8%,IF(D5=F6,88%,IF(D5=F7,86.8%,IF(D5=F8,89%,87%))))))))</f>
        <v>0.9</v>
      </c>
      <c r="C9" s="322">
        <f t="shared" ref="C9:C22" si="0">$D$4*B9</f>
        <v>27000</v>
      </c>
      <c r="D9" s="323">
        <f>'Plan otplate 1M'!F15</f>
        <v>20565.600838648752</v>
      </c>
      <c r="E9" s="315"/>
      <c r="F9" s="316" t="s">
        <v>125</v>
      </c>
    </row>
    <row r="10" spans="1:6" ht="12" customHeight="1">
      <c r="A10" s="139">
        <v>12</v>
      </c>
      <c r="B10" s="321">
        <f>IF(D5=F1,84%,IF(D5=F2,82%,IF(D5=F3,80%,IF(D5=F4,78%,IF(D5=F5,78%,IF(D5=F6,76%,IF(D5=F7,74%,IF(D5=F8,78%,74%))))))))</f>
        <v>0.8</v>
      </c>
      <c r="C10" s="322">
        <f t="shared" si="0"/>
        <v>24000</v>
      </c>
      <c r="D10" s="323">
        <f>'Plan otplate 1M'!F21</f>
        <v>18567.078688942558</v>
      </c>
      <c r="E10" s="315"/>
      <c r="F10" s="315" t="s">
        <v>126</v>
      </c>
    </row>
    <row r="11" spans="1:6" ht="12" customHeight="1">
      <c r="A11" s="139">
        <v>18</v>
      </c>
      <c r="B11" s="321">
        <f>IF(D5=F1,78%,IF(D5=F2,75.5%,IF(D5=F3,73%,IF(D5=F4,70%,IF(D5=F5,69.4%,IF(D5=F6,67.3%,IF(D5=F7,65.4%,IF(D5=F8,69%,70%))))))))</f>
        <v>0.73</v>
      </c>
      <c r="C11" s="322">
        <f t="shared" si="0"/>
        <v>21900</v>
      </c>
      <c r="D11" s="323">
        <f>'Plan otplate 1M'!F27</f>
        <v>16502.307951513038</v>
      </c>
      <c r="E11" s="315"/>
      <c r="F11" s="315"/>
    </row>
    <row r="12" spans="1:6" ht="12" customHeight="1">
      <c r="A12" s="139">
        <v>24</v>
      </c>
      <c r="B12" s="321">
        <f>IF(D5=F1,72%,IF(D5=F2,69%,IF(D5=F3,66%,IF(D5=F4,62%,IF(D5=F5,61%,IF(D5=F6,59%,IF(D5=F7,57%,IF(D5=F8,60%,66%))))))))</f>
        <v>0.66</v>
      </c>
      <c r="C12" s="322">
        <f t="shared" si="0"/>
        <v>19800</v>
      </c>
      <c r="D12" s="323">
        <f>'Plan otplate 1M'!F33</f>
        <v>14369.09256594826</v>
      </c>
      <c r="E12" s="315"/>
      <c r="F12" s="315"/>
    </row>
    <row r="13" spans="1:6" ht="12" customHeight="1">
      <c r="A13" s="139">
        <v>30</v>
      </c>
      <c r="B13" s="321">
        <f>IF(D5=F1,67%,IF(D5=F2,64%,IF(D5=F3,61%,IF(D5=F4,55%,IF(D5=F5,54.4%,IF(D5=F6,52.4%,IF(D5=F7,51%,IF(D5=F8,55%,56%))))))))</f>
        <v>0.61</v>
      </c>
      <c r="C13" s="322">
        <f t="shared" si="0"/>
        <v>18300</v>
      </c>
      <c r="D13" s="323">
        <f>'Plan otplate 1M'!F39</f>
        <v>12165.163675094531</v>
      </c>
      <c r="E13" s="315"/>
      <c r="F13" s="316"/>
    </row>
    <row r="14" spans="1:6" ht="12" customHeight="1">
      <c r="A14" s="139">
        <v>36</v>
      </c>
      <c r="B14" s="168">
        <f>IF(D5=F1,62%,IF(D5=F2,59%,IF(D5=F3,56%,IF(D5=F4,50%,IF(D5=F5,48%,IF(D5=F6,46%,IF(D5=F7,45%,IF(D5=F8,50%,46%))))))))</f>
        <v>0.56000000000000005</v>
      </c>
      <c r="C14" s="140">
        <f t="shared" si="0"/>
        <v>16800</v>
      </c>
      <c r="D14" s="134">
        <f>'Plan otplate 1M'!F45</f>
        <v>9888.1772119326033</v>
      </c>
    </row>
    <row r="15" spans="1:6" ht="12" customHeight="1">
      <c r="A15" s="139">
        <v>42</v>
      </c>
      <c r="B15" s="168">
        <f>IF(D5=F1,58%,IF(D5=F2,55%,IF(D5=F3,52%,IF(D5=F4,45%,IF(D5=F5,43.2%,IF(D5=F6,40.8%,IF(D5=F7,40.2%,IF(D5=F8,46%,41.5%))))))))</f>
        <v>0.52</v>
      </c>
      <c r="C15" s="140">
        <f t="shared" si="0"/>
        <v>15600</v>
      </c>
      <c r="D15" s="134">
        <f>'Plan otplate 1M'!F51</f>
        <v>7535.7114064617654</v>
      </c>
    </row>
    <row r="16" spans="1:6" ht="12" customHeight="1">
      <c r="A16" s="139">
        <v>48</v>
      </c>
      <c r="B16" s="168">
        <f>IF(D5=F1,54%,IF(D5=F2,51%,IF(D5=F3,48%,IF(D5=F4,40%,IF(D5=F5,39%,IF(D5=F6,36%,IF(D5=F7,36%,IF(D5=F8,42%,37%))))))))</f>
        <v>0.48</v>
      </c>
      <c r="C16" s="140">
        <f t="shared" si="0"/>
        <v>14400</v>
      </c>
      <c r="D16" s="134">
        <f>'Plan otplate 1M'!F57</f>
        <v>5105.264209940161</v>
      </c>
    </row>
    <row r="17" spans="1:4" ht="12" customHeight="1">
      <c r="A17" s="139">
        <v>54</v>
      </c>
      <c r="B17" s="168">
        <f>IF(D5=F1,50%,IF(D5=F2,47%,IF(D5=F3,44.5%,IF(D5=F4,35%,IF(D5=F5,35.4%,IF(D5=F6,33%,IF(D5=F7,33%,IF(D5=F8,39%,34%))))))))</f>
        <v>0.44500000000000001</v>
      </c>
      <c r="C17" s="140">
        <f t="shared" si="0"/>
        <v>13350</v>
      </c>
      <c r="D17" s="134">
        <f>'Plan otplate 1M'!F63</f>
        <v>2594.2506337417831</v>
      </c>
    </row>
    <row r="18" spans="1:4" ht="12" customHeight="1">
      <c r="A18" s="139">
        <v>60</v>
      </c>
      <c r="B18" s="168">
        <f>IF(D5=F1,46%,IF(D5=F2,43%,IF(D5=F3,41%,IF(D5=F4,32%,IF(D5=F5,32%,IF(D5=F6,30%,IF(D5=F7,30%,IF(D5=F8,36%,31%))))))))</f>
        <v>0.41</v>
      </c>
      <c r="C18" s="140">
        <f t="shared" si="0"/>
        <v>12300</v>
      </c>
      <c r="D18" s="134">
        <f>'Plan otplate 1M'!F69</f>
        <v>-1.8820855984813534E-10</v>
      </c>
    </row>
    <row r="19" spans="1:4" ht="12" customHeight="1">
      <c r="A19" s="139">
        <v>66</v>
      </c>
      <c r="B19" s="168">
        <f>IF(D5=F1,43%,IF(D5=F2,39.5%,IF(D5=F3,38%,IF(D5=F4,30%,IF(D5=F5,29.4%,IF(D5=F6,27.4%,IF(D5=F7,27.4%,IF(D5=F8,34%,29%))))))))</f>
        <v>0.38</v>
      </c>
      <c r="C19" s="140">
        <f t="shared" si="0"/>
        <v>11400</v>
      </c>
      <c r="D19" s="134">
        <f>'Plan otplate 1M'!F75</f>
        <v>0</v>
      </c>
    </row>
    <row r="20" spans="1:4" ht="12" customHeight="1">
      <c r="A20" s="139">
        <v>72</v>
      </c>
      <c r="B20" s="168">
        <f>IF(D5=F1,40%,IF(D5=F2,36%,IF(D5=F3,35%,IF(D5=F4,28%,IF(D5=F5,27%,IF(D5=F6,25%,IF(D5=F7,25%,IF(D5=F8,32%,27%))))))))</f>
        <v>0.35</v>
      </c>
      <c r="C20" s="140">
        <f t="shared" si="0"/>
        <v>10500</v>
      </c>
      <c r="D20" s="134">
        <f>'Plan otplate 1M'!F81</f>
        <v>0</v>
      </c>
    </row>
    <row r="21" spans="1:4" ht="12" customHeight="1">
      <c r="A21" s="139">
        <v>78</v>
      </c>
      <c r="B21" s="168">
        <f>IF(D5=F1,37%,IF(D5=F2,33%,IF(D5=F3,32.5%,IF(D5=F4,25%,IF(D5=F5,24.8%,IF(D5=F6,23.2%,IF(D5=F7,23.2%,IF(D5=F8,30%,25%))))))))</f>
        <v>0.32500000000000001</v>
      </c>
      <c r="C21" s="140">
        <f t="shared" si="0"/>
        <v>9750</v>
      </c>
      <c r="D21" s="134">
        <f>'Plan otplate 1M'!F87</f>
        <v>0</v>
      </c>
    </row>
    <row r="22" spans="1:4" ht="12" customHeight="1">
      <c r="A22" s="139">
        <v>84</v>
      </c>
      <c r="B22" s="168">
        <f>IF(D5=F1,34%,IF(D5=F2,30%,IF(D5=F3,30%,IF(D5=F4,22%,IF(D5=F5,23%,IF(D5=F6,22%,IF(D5=F7,22%,IF(D5=F8,28%,23%))))))))</f>
        <v>0.3</v>
      </c>
      <c r="C22" s="140">
        <f t="shared" si="0"/>
        <v>9000</v>
      </c>
      <c r="D22" s="134">
        <f>'Plan otplate 1M'!F93</f>
        <v>0</v>
      </c>
    </row>
    <row r="23" spans="1:4" ht="12" customHeight="1"/>
    <row r="24" spans="1:4" ht="12" customHeight="1"/>
    <row r="25" spans="1:4" ht="12" customHeight="1"/>
    <row r="26" spans="1:4" ht="12" customHeight="1"/>
    <row r="27" spans="1:4" ht="12" customHeight="1"/>
    <row r="28" spans="1:4" ht="12" customHeight="1"/>
    <row r="29" spans="1:4" ht="12" customHeight="1"/>
    <row r="30" spans="1:4" ht="12" customHeight="1"/>
    <row r="31" spans="1:4" ht="12" customHeight="1">
      <c r="C31" s="141"/>
      <c r="D31" s="141"/>
    </row>
  </sheetData>
  <sheetProtection password="D200" sheet="1" objects="1" scenarios="1" selectLockedCells="1"/>
  <protectedRanges>
    <protectedRange sqref="D5" name="Range1"/>
  </protectedRanges>
  <mergeCells count="2">
    <mergeCell ref="C6:D6"/>
    <mergeCell ref="C8:D8"/>
  </mergeCells>
  <phoneticPr fontId="2" type="noConversion"/>
  <pageMargins left="0.75" right="0.75" top="0.63" bottom="1" header="0.5" footer="0.5"/>
  <pageSetup paperSize="9" orientation="portrait"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sheetPr codeName="Sheet4" enableFormatConditionsCalculation="0">
    <tabColor indexed="18"/>
  </sheetPr>
  <dimension ref="A1:AY122"/>
  <sheetViews>
    <sheetView showGridLines="0" zoomScale="90" zoomScaleNormal="90" workbookViewId="0">
      <selection activeCell="E15" sqref="E15"/>
    </sheetView>
  </sheetViews>
  <sheetFormatPr defaultColWidth="0" defaultRowHeight="15" zeroHeight="1"/>
  <cols>
    <col min="1" max="1" width="24.77734375" style="109" customWidth="1"/>
    <col min="2" max="2" width="18.44140625" style="109" customWidth="1"/>
    <col min="3" max="3" width="22" style="109" customWidth="1"/>
    <col min="4" max="4" width="21.109375" style="109" customWidth="1"/>
    <col min="5" max="5" width="20.77734375" style="109" customWidth="1"/>
    <col min="6" max="6" width="17.6640625" style="109" customWidth="1"/>
    <col min="7" max="7" width="5.88671875" style="109" customWidth="1"/>
    <col min="8" max="8" width="20.88671875" style="109" hidden="1" customWidth="1"/>
    <col min="9" max="9" width="12" style="109" hidden="1" customWidth="1"/>
    <col min="10" max="11" width="20.88671875" style="109" hidden="1" customWidth="1"/>
    <col min="12" max="12" width="12" style="109" hidden="1" customWidth="1"/>
    <col min="13" max="14" width="20.88671875" style="109" hidden="1" customWidth="1"/>
    <col min="15" max="15" width="12" style="109" hidden="1" customWidth="1"/>
    <col min="16" max="16" width="19.88671875" style="109" hidden="1" customWidth="1"/>
    <col min="17" max="17" width="20.88671875" style="109" hidden="1" customWidth="1"/>
    <col min="18" max="18" width="12" style="109" hidden="1" customWidth="1"/>
    <col min="19" max="19" width="19.88671875" style="109" hidden="1" customWidth="1"/>
    <col min="20" max="20" width="20.88671875" style="109" hidden="1" customWidth="1"/>
    <col min="21" max="21" width="12" style="109" hidden="1" customWidth="1"/>
    <col min="22" max="23" width="20.88671875" style="109" hidden="1" customWidth="1"/>
    <col min="24" max="24" width="12" style="109" hidden="1" customWidth="1"/>
    <col min="25" max="26" width="20.88671875" style="109" hidden="1" customWidth="1"/>
    <col min="27" max="27" width="12" style="109" hidden="1" customWidth="1"/>
    <col min="28" max="29" width="20.88671875" style="109" hidden="1" customWidth="1"/>
    <col min="30" max="30" width="12" style="109" hidden="1" customWidth="1"/>
    <col min="31" max="31" width="20.88671875" style="109" hidden="1" customWidth="1"/>
    <col min="32" max="32" width="19.88671875" style="109" hidden="1" customWidth="1"/>
    <col min="33" max="33" width="12" style="109" hidden="1" customWidth="1"/>
    <col min="34" max="34" width="20.88671875" style="109" hidden="1" customWidth="1"/>
    <col min="35" max="35" width="19.88671875" style="109" hidden="1" customWidth="1"/>
    <col min="36" max="36" width="12" style="109" hidden="1" customWidth="1"/>
    <col min="37" max="38" width="20.88671875" style="109" hidden="1" customWidth="1"/>
    <col min="39" max="39" width="12" style="109" hidden="1" customWidth="1"/>
    <col min="40" max="41" width="20.88671875" style="109" hidden="1" customWidth="1"/>
    <col min="42" max="42" width="12.77734375" style="109" hidden="1" customWidth="1"/>
    <col min="43" max="43" width="25.44140625" style="109" hidden="1" customWidth="1"/>
    <col min="44" max="44" width="20.88671875" style="109" hidden="1" customWidth="1"/>
    <col min="45" max="45" width="12" style="109" hidden="1" customWidth="1"/>
    <col min="46" max="46" width="10.44140625" style="109" hidden="1" customWidth="1"/>
    <col min="47" max="47" width="20.88671875" style="109" hidden="1" customWidth="1"/>
    <col min="48" max="48" width="6.21875" style="109" hidden="1" customWidth="1"/>
    <col min="49" max="49" width="10.21875" style="109" hidden="1" customWidth="1"/>
    <col min="50" max="50" width="10.44140625" style="109" hidden="1" customWidth="1"/>
    <col min="51" max="51" width="10" style="109" hidden="1" customWidth="1"/>
    <col min="52" max="16384" width="8.88671875" style="109" hidden="1"/>
  </cols>
  <sheetData>
    <row r="1" spans="1:8"/>
    <row r="2" spans="1:8"/>
    <row r="3" spans="1:8"/>
    <row r="4" spans="1:8" ht="18">
      <c r="C4" s="692" t="s">
        <v>58</v>
      </c>
      <c r="D4" s="692"/>
    </row>
    <row r="5" spans="1:8" ht="18">
      <c r="C5" s="694" t="s">
        <v>46</v>
      </c>
      <c r="D5" s="694"/>
    </row>
    <row r="6" spans="1:8" ht="18">
      <c r="C6" s="111"/>
      <c r="D6" s="111"/>
    </row>
    <row r="7" spans="1:8" ht="18.75" thickBot="1">
      <c r="C7" s="110"/>
      <c r="D7" s="110"/>
    </row>
    <row r="8" spans="1:8">
      <c r="A8" s="695" t="s">
        <v>50</v>
      </c>
      <c r="B8" s="696"/>
      <c r="C8" s="146">
        <f>Kalkulator!F51</f>
        <v>5787.920192317456</v>
      </c>
      <c r="D8" s="112"/>
      <c r="E8" s="112"/>
      <c r="F8" s="112"/>
      <c r="G8" s="112"/>
      <c r="H8" s="112"/>
    </row>
    <row r="9" spans="1:8" ht="15.75" thickBot="1">
      <c r="A9" s="697" t="s">
        <v>51</v>
      </c>
      <c r="B9" s="698"/>
      <c r="C9" s="147">
        <f>IF(Kalkulator!C27="kroz lizing rate", Kalkulator!C23,Kalkulator!C27)</f>
        <v>1</v>
      </c>
      <c r="D9" s="112"/>
      <c r="E9" s="112"/>
      <c r="F9" s="112"/>
      <c r="G9" s="112"/>
      <c r="H9" s="112"/>
    </row>
    <row r="10" spans="1:8">
      <c r="A10" s="113" t="s">
        <v>45</v>
      </c>
      <c r="B10" s="126">
        <v>0.12</v>
      </c>
      <c r="C10" s="112"/>
      <c r="D10" s="112"/>
      <c r="E10" s="112"/>
      <c r="F10" s="112"/>
      <c r="G10" s="112"/>
      <c r="H10" s="112"/>
    </row>
    <row r="11" spans="1:8">
      <c r="A11" s="114"/>
      <c r="B11" s="115"/>
      <c r="C11" s="116"/>
      <c r="D11" s="116"/>
      <c r="E11" s="116"/>
      <c r="F11" s="112"/>
      <c r="G11" s="112"/>
      <c r="H11" s="112"/>
    </row>
    <row r="12" spans="1:8" ht="15.75" thickBot="1">
      <c r="A12" s="116"/>
      <c r="B12" s="116"/>
      <c r="C12" s="116"/>
      <c r="D12" s="116"/>
      <c r="E12" s="116"/>
      <c r="F12" s="112"/>
      <c r="G12" s="112"/>
      <c r="H12" s="112"/>
    </row>
    <row r="13" spans="1:8" ht="30.75" thickBot="1">
      <c r="A13" s="117"/>
      <c r="B13" s="118" t="s">
        <v>54</v>
      </c>
      <c r="C13" s="119" t="s">
        <v>55</v>
      </c>
      <c r="D13" s="120" t="s">
        <v>56</v>
      </c>
      <c r="E13" s="119" t="s">
        <v>57</v>
      </c>
      <c r="F13" s="121" t="s">
        <v>52</v>
      </c>
      <c r="G13" s="122"/>
      <c r="H13" s="122"/>
    </row>
    <row r="14" spans="1:8" ht="15.75" thickBot="1">
      <c r="A14" s="167">
        <v>1</v>
      </c>
      <c r="B14" s="148">
        <v>2</v>
      </c>
      <c r="C14" s="149">
        <v>3</v>
      </c>
      <c r="D14" s="149" t="s">
        <v>43</v>
      </c>
      <c r="E14" s="149">
        <v>5</v>
      </c>
      <c r="F14" s="150" t="s">
        <v>44</v>
      </c>
      <c r="G14" s="123"/>
      <c r="H14" s="123"/>
    </row>
    <row r="15" spans="1:8" ht="16.5" customHeight="1">
      <c r="A15" s="142" t="s">
        <v>113</v>
      </c>
      <c r="B15" s="151">
        <f>IF((($C$8/$C$9*($C$9-1))*$B$10*30)&gt;0,(($C$8/$C$9*($C$9-1))*$B$10*30),0)/360</f>
        <v>0</v>
      </c>
      <c r="C15" s="152">
        <f t="shared" ref="C15:C20" si="0">B15*20%</f>
        <v>0</v>
      </c>
      <c r="D15" s="153">
        <f t="shared" ref="D15:D20" si="1">SUM(B15:C15)</f>
        <v>0</v>
      </c>
      <c r="E15" s="152">
        <f>C8/C9</f>
        <v>5787.920192317456</v>
      </c>
      <c r="F15" s="154">
        <f t="shared" ref="F15:F20" si="2">D15+E15</f>
        <v>5787.920192317456</v>
      </c>
      <c r="G15" s="124"/>
      <c r="H15" s="124"/>
    </row>
    <row r="16" spans="1:8">
      <c r="A16" s="143" t="s">
        <v>114</v>
      </c>
      <c r="B16" s="155">
        <f>IF((($C$8/$C$9*($C$9-2))*$B$10*30)&gt;0,(($C$8/$C$9*($C$9-2))*($B$10+0.15%)*30),0)/360</f>
        <v>0</v>
      </c>
      <c r="C16" s="156">
        <f t="shared" si="0"/>
        <v>0</v>
      </c>
      <c r="D16" s="157">
        <f t="shared" si="1"/>
        <v>0</v>
      </c>
      <c r="E16" s="156">
        <f>IF(C9&gt;1,C8/C9,0)</f>
        <v>0</v>
      </c>
      <c r="F16" s="158">
        <f t="shared" si="2"/>
        <v>0</v>
      </c>
      <c r="G16" s="124"/>
      <c r="H16" s="124"/>
    </row>
    <row r="17" spans="1:13">
      <c r="A17" s="143" t="s">
        <v>115</v>
      </c>
      <c r="B17" s="155">
        <f>IF((($C$8/$C$9*($C$9-3))*$B$10*30)&gt;0,(($C$8/$C$9*($C$9-3))*($B$10+0.3%)*30),0)/360</f>
        <v>0</v>
      </c>
      <c r="C17" s="156">
        <f t="shared" si="0"/>
        <v>0</v>
      </c>
      <c r="D17" s="157">
        <f t="shared" si="1"/>
        <v>0</v>
      </c>
      <c r="E17" s="156">
        <f>IF(C9&gt;2,C8/C9,0)</f>
        <v>0</v>
      </c>
      <c r="F17" s="158">
        <f t="shared" si="2"/>
        <v>0</v>
      </c>
      <c r="G17" s="124"/>
      <c r="H17" s="124"/>
    </row>
    <row r="18" spans="1:13">
      <c r="A18" s="143" t="s">
        <v>116</v>
      </c>
      <c r="B18" s="155">
        <f>IF((($C$8/$C$9*($C$9-4))*$B$10*30)&gt;0,(($C$8/$C$9*($C$9-4))*($B$10+0.45%)*30),0)/360</f>
        <v>0</v>
      </c>
      <c r="C18" s="156">
        <f t="shared" si="0"/>
        <v>0</v>
      </c>
      <c r="D18" s="157">
        <f t="shared" si="1"/>
        <v>0</v>
      </c>
      <c r="E18" s="156">
        <f>IF(C9&gt;3,C8/C9,0)</f>
        <v>0</v>
      </c>
      <c r="F18" s="158">
        <f t="shared" si="2"/>
        <v>0</v>
      </c>
      <c r="G18" s="124"/>
      <c r="H18" s="124"/>
    </row>
    <row r="19" spans="1:13">
      <c r="A19" s="143" t="s">
        <v>117</v>
      </c>
      <c r="B19" s="155">
        <f>IF((($C$8/$C$9*($C$9-5))*$B$10*30)&gt;0,(($C$8/$C$9*($C$9-5))*($B$10+0.6%)*30),0)/360</f>
        <v>0</v>
      </c>
      <c r="C19" s="156">
        <f t="shared" si="0"/>
        <v>0</v>
      </c>
      <c r="D19" s="157">
        <f t="shared" si="1"/>
        <v>0</v>
      </c>
      <c r="E19" s="156">
        <f>IF(C9&gt;4,C8/C9,0)</f>
        <v>0</v>
      </c>
      <c r="F19" s="158">
        <f t="shared" si="2"/>
        <v>0</v>
      </c>
      <c r="G19" s="124"/>
      <c r="H19" s="124"/>
    </row>
    <row r="20" spans="1:13" ht="15.75" thickBot="1">
      <c r="A20" s="144" t="s">
        <v>118</v>
      </c>
      <c r="B20" s="159">
        <f>IF((($C$8/$C$9*($C$9-6))*$B$10*30)&gt;0,(($C$8/$C$9*($C$9-6))*($B$10+0.75%)*30),0)/360</f>
        <v>0</v>
      </c>
      <c r="C20" s="160">
        <f t="shared" si="0"/>
        <v>0</v>
      </c>
      <c r="D20" s="161">
        <f t="shared" si="1"/>
        <v>0</v>
      </c>
      <c r="E20" s="160">
        <f>IF(C9&gt;5,C8/C9,0)</f>
        <v>0</v>
      </c>
      <c r="F20" s="162">
        <f t="shared" si="2"/>
        <v>0</v>
      </c>
      <c r="G20" s="124"/>
      <c r="H20" s="124"/>
    </row>
    <row r="21" spans="1:13" ht="15.75" thickBot="1">
      <c r="A21" s="145" t="s">
        <v>53</v>
      </c>
      <c r="B21" s="163">
        <f>SUM(B15:B20)</f>
        <v>0</v>
      </c>
      <c r="C21" s="164">
        <f>SUM(C15:C20)</f>
        <v>0</v>
      </c>
      <c r="D21" s="165">
        <f>SUM(D15:D20)</f>
        <v>0</v>
      </c>
      <c r="E21" s="164">
        <f>SUM(E15:E20)</f>
        <v>5787.920192317456</v>
      </c>
      <c r="F21" s="166">
        <f>SUM(F15:F20)</f>
        <v>5787.920192317456</v>
      </c>
      <c r="G21" s="124"/>
      <c r="H21" s="124"/>
    </row>
    <row r="22" spans="1:13"/>
    <row r="23" spans="1:13"/>
    <row r="24" spans="1:13"/>
    <row r="25" spans="1:13" ht="15.75" thickBot="1">
      <c r="A25" s="125"/>
      <c r="B25" s="125"/>
      <c r="C25" s="125"/>
      <c r="D25" s="125"/>
      <c r="E25" s="125"/>
      <c r="F25" s="125"/>
    </row>
    <row r="26" spans="1:13">
      <c r="A26" s="693" t="s">
        <v>182</v>
      </c>
      <c r="B26" s="693"/>
      <c r="C26" s="693"/>
      <c r="D26" s="693"/>
      <c r="E26" s="693"/>
      <c r="F26" s="693"/>
      <c r="G26" s="693"/>
      <c r="H26" s="693"/>
      <c r="I26" s="693"/>
      <c r="J26" s="693"/>
      <c r="K26" s="693"/>
      <c r="L26" s="693"/>
      <c r="M26" s="693"/>
    </row>
    <row r="27" spans="1:13"/>
    <row r="28" spans="1:13"/>
    <row r="29" spans="1:13"/>
    <row r="30" spans="1:13"/>
    <row r="31" spans="1:13"/>
    <row r="32" spans="1:13"/>
    <row r="33"/>
    <row r="34"/>
    <row r="35"/>
    <row r="36"/>
    <row r="37"/>
    <row r="38"/>
    <row r="39"/>
    <row r="40"/>
    <row r="41"/>
    <row r="42"/>
    <row r="43"/>
    <row r="44"/>
    <row r="45"/>
    <row r="46"/>
    <row r="47"/>
    <row r="48"/>
    <row r="49" ht="15" customHeight="1"/>
    <row r="50"/>
    <row r="51"/>
    <row r="52"/>
    <row r="53"/>
    <row r="54"/>
    <row r="55"/>
    <row r="56"/>
    <row r="57"/>
    <row r="58"/>
    <row r="59"/>
    <row r="60"/>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t="12" hidden="1" customHeight="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ht="12" hidden="1" customHeight="1"/>
    <row r="98" ht="12" hidden="1" customHeight="1"/>
    <row r="99" ht="12" hidden="1" customHeight="1"/>
    <row r="100" ht="12" hidden="1" customHeight="1"/>
    <row r="101" ht="12" hidden="1" customHeight="1"/>
    <row r="102" ht="12" hidden="1" customHeight="1"/>
    <row r="103" ht="12" hidden="1" customHeight="1"/>
    <row r="104" ht="12" hidden="1" customHeight="1"/>
    <row r="105" ht="12" hidden="1" customHeight="1"/>
    <row r="106" ht="12" hidden="1" customHeight="1"/>
    <row r="107" ht="12" hidden="1" customHeight="1"/>
    <row r="108" ht="12" hidden="1" customHeight="1"/>
    <row r="109" ht="12" hidden="1" customHeight="1"/>
    <row r="110" ht="12" hidden="1" customHeight="1"/>
    <row r="111" ht="12" hidden="1" customHeight="1"/>
    <row r="112" ht="12" hidden="1" customHeight="1"/>
    <row r="113" ht="12" hidden="1" customHeight="1"/>
    <row r="114" ht="12" hidden="1" customHeight="1"/>
    <row r="115" ht="12" hidden="1" customHeight="1"/>
    <row r="116" ht="12" hidden="1" customHeight="1"/>
    <row r="117" ht="12" hidden="1" customHeight="1"/>
    <row r="118" ht="12" hidden="1" customHeight="1"/>
    <row r="119" ht="12" hidden="1" customHeight="1"/>
    <row r="120" ht="12" hidden="1" customHeight="1"/>
    <row r="121"/>
    <row r="122"/>
  </sheetData>
  <sheetProtection password="D200" sheet="1" objects="1" scenarios="1" selectLockedCells="1"/>
  <mergeCells count="5">
    <mergeCell ref="C4:D4"/>
    <mergeCell ref="A26:M26"/>
    <mergeCell ref="C5:D5"/>
    <mergeCell ref="A8:B8"/>
    <mergeCell ref="A9:B9"/>
  </mergeCells>
  <phoneticPr fontId="0" type="noConversion"/>
  <printOptions horizontalCentered="1"/>
  <pageMargins left="0" right="0.19685039370078741" top="0.39370078740157483" bottom="0" header="0" footer="0"/>
  <pageSetup scale="90" orientation="landscape" r:id="rId1"/>
  <headerFooter alignWithMargins="0"/>
  <ignoredErrors>
    <ignoredError sqref="C8:C9" unlockedFormula="1"/>
  </ignoredErrors>
  <drawing r:id="rId2"/>
  <legacyDrawing r:id="rId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Kalkulator</vt:lpstr>
      <vt:lpstr>Pricing</vt:lpstr>
      <vt:lpstr>Ponuda1M</vt:lpstr>
      <vt:lpstr>Offer</vt:lpstr>
      <vt:lpstr>PONUDA3Mili6M</vt:lpstr>
      <vt:lpstr>Plan otplate 1M</vt:lpstr>
      <vt:lpstr>Planotplate3M6M</vt:lpstr>
      <vt:lpstr>MARKET VALUE</vt:lpstr>
      <vt:lpstr>PDV tabela</vt:lpstr>
      <vt:lpstr>Sheet1</vt:lpstr>
    </vt:vector>
  </TitlesOfParts>
  <Company>EFG Leasing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Predrag Milenkovic</dc:creator>
  <cp:lastModifiedBy>dtomic</cp:lastModifiedBy>
  <cp:lastPrinted>2013-12-18T10:08:03Z</cp:lastPrinted>
  <dcterms:created xsi:type="dcterms:W3CDTF">2002-07-24T11:31:30Z</dcterms:created>
  <dcterms:modified xsi:type="dcterms:W3CDTF">2013-12-18T10:11:48Z</dcterms:modified>
</cp:coreProperties>
</file>