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kyutechjp.sharepoint.com/sites/grp_SpaceLab-BIRDS-XProject2/Shared Documents/BIRDS-X Project-/03. OBC/Dataformat/"/>
    </mc:Choice>
  </mc:AlternateContent>
  <xr:revisionPtr revIDLastSave="5" documentId="11_06C0DC4E59DF97899A7135A0DEFBFC6022C1CA9E" xr6:coauthVersionLast="47" xr6:coauthVersionMax="47" xr10:uidLastSave="{D6A501D6-285E-4853-AD28-BF42CD392ADE}"/>
  <bookViews>
    <workbookView xWindow="0" yWindow="0" windowWidth="25600" windowHeight="16000" firstSheet="2" activeTab="2" xr2:uid="{00000000-000D-0000-FFFF-FFFF00000000}"/>
  </bookViews>
  <sheets>
    <sheet name="BIRDS-X_SAT Data Analyzers" sheetId="3" r:id="rId1"/>
    <sheet name="BIRDS-5_SAT Data Analyzers" sheetId="2" r:id="rId2"/>
    <sheet name="Sheet1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3" l="1"/>
  <c r="T17" i="3"/>
  <c r="N17" i="3"/>
  <c r="N16" i="3"/>
  <c r="I16" i="3"/>
  <c r="N15" i="3"/>
  <c r="N14" i="3"/>
  <c r="N13" i="3"/>
  <c r="I13" i="3"/>
  <c r="T12" i="3"/>
  <c r="N12" i="3"/>
  <c r="Z11" i="3"/>
  <c r="T11" i="3"/>
  <c r="N11" i="3"/>
  <c r="K11" i="3"/>
  <c r="Z10" i="3"/>
  <c r="T10" i="3"/>
  <c r="N10" i="3"/>
  <c r="Z9" i="3"/>
  <c r="T9" i="3"/>
  <c r="Q9" i="3"/>
  <c r="N9" i="3"/>
  <c r="Z8" i="3"/>
  <c r="T8" i="3"/>
  <c r="Q8" i="3"/>
  <c r="N8" i="3"/>
  <c r="C8" i="3"/>
  <c r="Z7" i="3"/>
  <c r="T7" i="3"/>
  <c r="Q7" i="3"/>
  <c r="N7" i="3"/>
  <c r="K7" i="3"/>
  <c r="AA6" i="3"/>
  <c r="Z6" i="3"/>
  <c r="T6" i="3"/>
  <c r="Q6" i="3"/>
  <c r="N6" i="3"/>
  <c r="I6" i="3"/>
  <c r="Z5" i="3"/>
  <c r="W5" i="3"/>
  <c r="T5" i="3"/>
  <c r="Q5" i="3"/>
  <c r="N5" i="3"/>
  <c r="Z4" i="3"/>
  <c r="T4" i="3"/>
  <c r="Q4" i="3"/>
  <c r="N4" i="3"/>
  <c r="Z3" i="3"/>
  <c r="T3" i="3"/>
  <c r="Q3" i="3"/>
  <c r="N3" i="3"/>
  <c r="G2" i="3"/>
  <c r="I15" i="3" s="1"/>
  <c r="F2" i="3"/>
  <c r="I8" i="3" s="1"/>
  <c r="E2" i="3"/>
  <c r="K5" i="3" s="1"/>
  <c r="D2" i="3"/>
  <c r="D3" i="3" s="1"/>
  <c r="C2" i="3"/>
  <c r="K3" i="3" s="1"/>
  <c r="I19" i="3" l="1"/>
  <c r="I4" i="3"/>
  <c r="I7" i="3"/>
  <c r="K8" i="3"/>
  <c r="I11" i="3"/>
  <c r="K15" i="3"/>
  <c r="I5" i="3"/>
  <c r="K6" i="3"/>
  <c r="K10" i="3"/>
  <c r="I14" i="3"/>
  <c r="G3" i="3"/>
  <c r="K4" i="3"/>
  <c r="I9" i="3"/>
  <c r="I12" i="3"/>
  <c r="K14" i="3"/>
  <c r="K13" i="3"/>
  <c r="I10" i="3"/>
  <c r="I3" i="3"/>
  <c r="K9" i="3"/>
  <c r="K12" i="3"/>
  <c r="C2" i="2"/>
  <c r="D2" i="2"/>
  <c r="D3" i="2" s="1"/>
  <c r="E2" i="2"/>
  <c r="I5" i="2" s="1"/>
  <c r="F2" i="2"/>
  <c r="G2" i="2"/>
  <c r="I16" i="2" s="1"/>
  <c r="I3" i="2"/>
  <c r="K3" i="2"/>
  <c r="N3" i="2"/>
  <c r="Q3" i="2"/>
  <c r="T3" i="2"/>
  <c r="Z3" i="2"/>
  <c r="K4" i="2"/>
  <c r="N4" i="2"/>
  <c r="Q4" i="2"/>
  <c r="T4" i="2"/>
  <c r="Z4" i="2"/>
  <c r="K5" i="2"/>
  <c r="N5" i="2"/>
  <c r="Q5" i="2"/>
  <c r="T5" i="2"/>
  <c r="W5" i="2"/>
  <c r="Z5" i="2"/>
  <c r="I6" i="2"/>
  <c r="K6" i="2"/>
  <c r="N6" i="2"/>
  <c r="Q6" i="2"/>
  <c r="T6" i="2"/>
  <c r="Z6" i="2"/>
  <c r="AA6" i="2" s="1"/>
  <c r="I7" i="2"/>
  <c r="K7" i="2"/>
  <c r="N7" i="2"/>
  <c r="Q7" i="2"/>
  <c r="T7" i="2"/>
  <c r="Z7" i="2"/>
  <c r="C8" i="2"/>
  <c r="I8" i="2"/>
  <c r="K8" i="2"/>
  <c r="N8" i="2"/>
  <c r="Q8" i="2"/>
  <c r="T8" i="2"/>
  <c r="Z8" i="2"/>
  <c r="I9" i="2"/>
  <c r="K9" i="2"/>
  <c r="N9" i="2"/>
  <c r="Q9" i="2"/>
  <c r="T9" i="2"/>
  <c r="Z9" i="2"/>
  <c r="I10" i="2"/>
  <c r="K10" i="2"/>
  <c r="N10" i="2"/>
  <c r="T10" i="2"/>
  <c r="Z10" i="2"/>
  <c r="I11" i="2"/>
  <c r="K11" i="2"/>
  <c r="N11" i="2"/>
  <c r="T11" i="2"/>
  <c r="Z11" i="2"/>
  <c r="I12" i="2"/>
  <c r="K12" i="2"/>
  <c r="N12" i="2"/>
  <c r="T12" i="2"/>
  <c r="I13" i="2"/>
  <c r="K13" i="2"/>
  <c r="N13" i="2"/>
  <c r="I14" i="2"/>
  <c r="K14" i="2"/>
  <c r="N14" i="2"/>
  <c r="I15" i="2"/>
  <c r="K15" i="2"/>
  <c r="N15" i="2"/>
  <c r="N16" i="2"/>
  <c r="N17" i="2"/>
  <c r="T17" i="2"/>
  <c r="T18" i="2"/>
  <c r="I19" i="2" l="1"/>
  <c r="I4" i="2"/>
  <c r="G3" i="2"/>
</calcChain>
</file>

<file path=xl/sharedStrings.xml><?xml version="1.0" encoding="utf-8"?>
<sst xmlns="http://schemas.openxmlformats.org/spreadsheetml/2006/main" count="184" uniqueCount="91">
  <si>
    <t>CW Decode</t>
  </si>
  <si>
    <t>CW Type1</t>
    <phoneticPr fontId="1"/>
  </si>
  <si>
    <t>CW Type2</t>
    <phoneticPr fontId="1"/>
  </si>
  <si>
    <t>Flag Decode</t>
  </si>
  <si>
    <t xml:space="preserve"> 00 00 00 00 FF 66 FF FF 00 00 01 01 01 00 00</t>
    <phoneticPr fontId="1"/>
  </si>
  <si>
    <t>SATLOG Decode:</t>
  </si>
  <si>
    <t>dada0000000003252525ef</t>
  </si>
  <si>
    <t>Current Address Decoder</t>
  </si>
  <si>
    <t>00040000000500000006015501342f30026002f3039a000003900000029218600400000088</t>
  </si>
  <si>
    <t xml:space="preserve"> </t>
  </si>
  <si>
    <t>Next Address Calculator:</t>
  </si>
  <si>
    <t>FAB ADC ADDRESS CALCULATOR:</t>
  </si>
  <si>
    <t>8F30</t>
  </si>
  <si>
    <t xml:space="preserve">C0 00 4A 47 36 59 42 57 30 4A 47 36 59 4F 45 30 3E F0 FF F0 FF 00 00 01 00 04 00 00 00 05 00 00 00 06 02 DB DC 01 36 CE 70 02 60 2C E7 03 9A 00 00 03 90 00 00 02 92 00 00 03 00 00 09 00 FF FF FF FF FF FF FF FF FF FF FF FF FF FF FF FF FF FF FF FF FF FF FF FF FF FF FF FF FF FF FF FF FF FF FF FF FF FF FF FF FF FF FF FF C0 
</t>
  </si>
  <si>
    <t>Bat Vol [V]</t>
    <phoneticPr fontId="1"/>
  </si>
  <si>
    <t>Gyro X [deg/sec]</t>
    <phoneticPr fontId="1"/>
  </si>
  <si>
    <t>BC_ATTEMPT_FLAG;</t>
  </si>
  <si>
    <t>Seconds</t>
  </si>
  <si>
    <t>Flag Data</t>
  </si>
  <si>
    <t>Address Starting From:</t>
  </si>
  <si>
    <t>013892b4</t>
  </si>
  <si>
    <t>Binary:</t>
  </si>
  <si>
    <t>Bat Cur [mA]</t>
    <phoneticPr fontId="1"/>
  </si>
  <si>
    <t>Gyro Y [deg/sec]</t>
    <phoneticPr fontId="1"/>
  </si>
  <si>
    <t>PASSED_DAYS &gt;&gt; 8;</t>
  </si>
  <si>
    <t>Minutes</t>
  </si>
  <si>
    <t>RSV Data</t>
  </si>
  <si>
    <t>Number of pckts to download</t>
  </si>
  <si>
    <t>WRITE</t>
  </si>
  <si>
    <t>Bat Temp</t>
    <phoneticPr fontId="1"/>
  </si>
  <si>
    <t>Gyro Z [deg/sec]</t>
    <phoneticPr fontId="1"/>
  </si>
  <si>
    <t>PASSED_DAYS;</t>
  </si>
  <si>
    <t>Hours</t>
  </si>
  <si>
    <t>SAT LOG</t>
  </si>
  <si>
    <t>Next Address to Start At:</t>
  </si>
  <si>
    <t>SEQ</t>
  </si>
  <si>
    <t>Format (0)</t>
    <phoneticPr fontId="1"/>
  </si>
  <si>
    <t>Format (1)</t>
    <phoneticPr fontId="1"/>
  </si>
  <si>
    <t>RESERVE_CHECK;</t>
  </si>
  <si>
    <t>Day</t>
  </si>
  <si>
    <t>HK Data</t>
  </si>
  <si>
    <t>ADDRESS</t>
  </si>
  <si>
    <t>OP Mode</t>
    <phoneticPr fontId="1"/>
  </si>
  <si>
    <t>Auto HSSC</t>
    <phoneticPr fontId="1"/>
  </si>
  <si>
    <t>RESERVE_TARGET_FLAG;</t>
  </si>
  <si>
    <t>Data 1 (Log Type)</t>
  </si>
  <si>
    <t>CW Data</t>
  </si>
  <si>
    <t>PWR MGMT</t>
  </si>
  <si>
    <t>Kill Main</t>
    <phoneticPr fontId="1"/>
  </si>
  <si>
    <t>COM to MAIN</t>
  </si>
  <si>
    <t>RESERVE_MIN_FLAG;</t>
  </si>
  <si>
    <t>Data 2</t>
  </si>
  <si>
    <t>ADCS Data</t>
  </si>
  <si>
    <t>SHADOW</t>
  </si>
  <si>
    <t>Kill FAB</t>
    <phoneticPr fontId="1"/>
  </si>
  <si>
    <t>RESET to MAIN</t>
  </si>
  <si>
    <t>MISSION_CONTENTS;</t>
  </si>
  <si>
    <t>Data 3</t>
  </si>
  <si>
    <t>DC Status</t>
  </si>
  <si>
    <t>WEAK/TRI</t>
  </si>
  <si>
    <t>ANT Dep</t>
    <phoneticPr fontId="1"/>
  </si>
  <si>
    <t>FAB to MAIN</t>
  </si>
  <si>
    <t>MISSION_DETAIL;</t>
  </si>
  <si>
    <t>HSSC</t>
  </si>
  <si>
    <t>RANGE</t>
  </si>
  <si>
    <t>Solar Cell -X</t>
  </si>
  <si>
    <t>Bat Heater</t>
    <phoneticPr fontId="1"/>
  </si>
  <si>
    <t>Kill_FLAG_MAIN;</t>
  </si>
  <si>
    <t>BC Attempt Flag</t>
  </si>
  <si>
    <t>CODING</t>
  </si>
  <si>
    <t>Solar Cell +Y</t>
  </si>
  <si>
    <t>RSV_CHECK</t>
    <phoneticPr fontId="1"/>
  </si>
  <si>
    <t>Kill_FLAG_FAB;</t>
  </si>
  <si>
    <t>Address Writing Counter</t>
  </si>
  <si>
    <t>Solar Cell -Z</t>
    <phoneticPr fontId="1"/>
  </si>
  <si>
    <t>UPLINK Success</t>
    <phoneticPr fontId="1"/>
  </si>
  <si>
    <t>FIRST_HSSC_DONE;</t>
  </si>
  <si>
    <t>Solar Cell -Y</t>
  </si>
  <si>
    <t>Mission Status</t>
  </si>
  <si>
    <t>ANT_DEP_STATUS;</t>
  </si>
  <si>
    <t>Solar Cell +Z</t>
    <phoneticPr fontId="1"/>
  </si>
  <si>
    <t>Mission Operating</t>
  </si>
  <si>
    <t>UPLINK_SUCCESS;</t>
  </si>
  <si>
    <t>04 00 00 00 05 00 00 00 06 02 DB DC 01 37 2C D0 02 60 32 CD 03 9A 00 00 03 90 00 00 02 92 00 00 03 00 00 0A 2E</t>
  </si>
  <si>
    <t>Operation Time (hours)</t>
  </si>
  <si>
    <t>MISSION_STATUS;</t>
  </si>
  <si>
    <t>01383DA0</t>
  </si>
  <si>
    <t>04 00 00 00 05 00 00 00 06 02 00 D6 01 37 94 E0 02 60 39 4E 03 9A 00 00 03 90 00 00 02 92 00 00 04 00 00 0B 7D</t>
  </si>
  <si>
    <t>MISSION_OPERATING;</t>
  </si>
  <si>
    <t>04 00 00 00 05 00 00 00 06 02 00 D6 01 38 AD D0 02 60 4A DD 03 9A 00 00 03 90 00 00 02 92 00 00 04 00 00 0F 00</t>
  </si>
  <si>
    <t>battery hex A5 to 96 (4.2 to 3.8) is 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</si>
</sst>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.00_ "/>
  </numFmts>
  <fonts count="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444444"/>
      <name val="Calibri"/>
      <family val="2"/>
    </font>
    <font>
      <sz val="11"/>
      <color rgb="FF444444"/>
      <name val="Calibri"/>
      <family val="2"/>
      <charset val="1"/>
    </font>
    <font>
      <b/>
      <sz val="11"/>
      <color theme="1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Calibri"/>
      <family val="2"/>
    </font>
    <font>
      <sz val="11"/>
      <color rgb="FFFF0000"/>
      <name val="游ゴシック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30A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2" fillId="0" borderId="0" xfId="0" applyFont="1"/>
    <xf numFmtId="0" fontId="3" fillId="0" borderId="0" xfId="0" quotePrefix="1" applyFont="1"/>
    <xf numFmtId="0" fontId="3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4" fillId="0" borderId="2" xfId="0" applyNumberFormat="1" applyFont="1" applyBorder="1"/>
    <xf numFmtId="11" fontId="0" fillId="0" borderId="0" xfId="0" applyNumberFormat="1"/>
    <xf numFmtId="49" fontId="4" fillId="0" borderId="3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0" borderId="0" xfId="0" applyAlignment="1">
      <alignment wrapText="1"/>
    </xf>
    <xf numFmtId="0" fontId="0" fillId="0" borderId="8" xfId="0" applyBorder="1"/>
    <xf numFmtId="0" fontId="0" fillId="0" borderId="9" xfId="0" applyBorder="1" applyAlignment="1">
      <alignment horizontal="center"/>
    </xf>
    <xf numFmtId="0" fontId="5" fillId="0" borderId="2" xfId="0" applyFont="1" applyBorder="1"/>
    <xf numFmtId="0" fontId="0" fillId="0" borderId="9" xfId="0" applyBorder="1"/>
    <xf numFmtId="0" fontId="0" fillId="0" borderId="2" xfId="0" applyBorder="1"/>
    <xf numFmtId="11" fontId="0" fillId="0" borderId="0" xfId="0" applyNumberFormat="1" applyAlignment="1">
      <alignment horizontal="center"/>
    </xf>
    <xf numFmtId="0" fontId="5" fillId="0" borderId="3" xfId="0" applyFont="1" applyBorder="1"/>
    <xf numFmtId="0" fontId="0" fillId="0" borderId="3" xfId="0" applyBorder="1"/>
    <xf numFmtId="0" fontId="0" fillId="0" borderId="0" xfId="0" applyAlignment="1">
      <alignment horizontal="right"/>
    </xf>
    <xf numFmtId="0" fontId="5" fillId="0" borderId="0" xfId="0" applyFont="1"/>
    <xf numFmtId="0" fontId="0" fillId="0" borderId="9" xfId="0" applyBorder="1" applyAlignment="1">
      <alignment horizontal="right"/>
    </xf>
    <xf numFmtId="0" fontId="5" fillId="0" borderId="10" xfId="0" applyFont="1" applyBorder="1"/>
    <xf numFmtId="0" fontId="0" fillId="0" borderId="11" xfId="0" applyBorder="1" applyAlignment="1">
      <alignment horizontal="right"/>
    </xf>
    <xf numFmtId="0" fontId="5" fillId="0" borderId="12" xfId="0" applyFont="1" applyBorder="1"/>
    <xf numFmtId="0" fontId="5" fillId="2" borderId="3" xfId="0" applyFont="1" applyFill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13" xfId="0" applyBorder="1" applyAlignment="1">
      <alignment horizontal="right"/>
    </xf>
    <xf numFmtId="49" fontId="6" fillId="0" borderId="14" xfId="0" applyNumberFormat="1" applyFont="1" applyBorder="1"/>
    <xf numFmtId="0" fontId="5" fillId="0" borderId="15" xfId="0" applyFont="1" applyBorder="1"/>
    <xf numFmtId="0" fontId="0" fillId="0" borderId="16" xfId="0" applyBorder="1"/>
    <xf numFmtId="164" fontId="0" fillId="0" borderId="17" xfId="0" applyNumberFormat="1" applyBorder="1"/>
    <xf numFmtId="165" fontId="0" fillId="0" borderId="17" xfId="0" applyNumberFormat="1" applyBorder="1"/>
    <xf numFmtId="0" fontId="0" fillId="0" borderId="17" xfId="0" applyBorder="1"/>
    <xf numFmtId="49" fontId="0" fillId="0" borderId="17" xfId="0" applyNumberFormat="1" applyBorder="1" applyAlignment="1">
      <alignment wrapText="1"/>
    </xf>
    <xf numFmtId="11" fontId="0" fillId="0" borderId="2" xfId="0" applyNumberFormat="1" applyBorder="1"/>
    <xf numFmtId="0" fontId="7" fillId="0" borderId="0" xfId="0" applyFont="1"/>
    <xf numFmtId="0" fontId="0" fillId="4" borderId="18" xfId="0" applyFill="1" applyBorder="1"/>
    <xf numFmtId="0" fontId="5" fillId="4" borderId="19" xfId="0" applyFont="1" applyFill="1" applyBorder="1"/>
    <xf numFmtId="0" fontId="0" fillId="5" borderId="18" xfId="0" applyFill="1" applyBorder="1"/>
    <xf numFmtId="0" fontId="5" fillId="5" borderId="19" xfId="0" applyFont="1" applyFill="1" applyBorder="1"/>
    <xf numFmtId="0" fontId="5" fillId="6" borderId="19" xfId="0" applyFont="1" applyFill="1" applyBorder="1"/>
    <xf numFmtId="0" fontId="0" fillId="7" borderId="18" xfId="0" applyFill="1" applyBorder="1"/>
    <xf numFmtId="0" fontId="5" fillId="7" borderId="20" xfId="0" applyFont="1" applyFill="1" applyBorder="1"/>
    <xf numFmtId="0" fontId="0" fillId="8" borderId="18" xfId="0" applyFill="1" applyBorder="1"/>
    <xf numFmtId="49" fontId="5" fillId="8" borderId="19" xfId="0" applyNumberFormat="1" applyFont="1" applyFill="1" applyBorder="1"/>
    <xf numFmtId="0" fontId="0" fillId="9" borderId="18" xfId="0" applyFill="1" applyBorder="1"/>
    <xf numFmtId="165" fontId="0" fillId="9" borderId="24" xfId="0" applyNumberFormat="1" applyFill="1" applyBorder="1"/>
    <xf numFmtId="0" fontId="0" fillId="9" borderId="24" xfId="0" applyFill="1" applyBorder="1"/>
    <xf numFmtId="11" fontId="6" fillId="9" borderId="25" xfId="0" applyNumberFormat="1" applyFont="1" applyFill="1" applyBorder="1" applyAlignment="1">
      <alignment wrapText="1"/>
    </xf>
    <xf numFmtId="0" fontId="5" fillId="9" borderId="19" xfId="0" applyFont="1" applyFill="1" applyBorder="1"/>
    <xf numFmtId="0" fontId="5" fillId="9" borderId="23" xfId="0" applyFont="1" applyFill="1" applyBorder="1" applyAlignment="1">
      <alignment horizontal="center"/>
    </xf>
    <xf numFmtId="0" fontId="5" fillId="9" borderId="21" xfId="0" applyFont="1" applyFill="1" applyBorder="1" applyAlignment="1">
      <alignment horizontal="center"/>
    </xf>
    <xf numFmtId="0" fontId="5" fillId="9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C00E3-5DC4-CB41-B989-B4C58373608E}">
  <dimension ref="A1:AD23"/>
  <sheetViews>
    <sheetView topLeftCell="S1" workbookViewId="0">
      <selection activeCell="I12" sqref="I12"/>
    </sheetView>
  </sheetViews>
  <sheetFormatPr defaultColWidth="9.125" defaultRowHeight="18"/>
  <cols>
    <col min="1" max="1" width="11.625" customWidth="1"/>
    <col min="2" max="2" width="15.625" style="3" customWidth="1"/>
    <col min="3" max="3" width="3.625" customWidth="1"/>
    <col min="4" max="4" width="4.125" customWidth="1"/>
    <col min="5" max="5" width="4.125" style="2" customWidth="1"/>
    <col min="6" max="6" width="3.625" style="1" customWidth="1"/>
    <col min="7" max="7" width="4.125" bestFit="1" customWidth="1"/>
    <col min="8" max="8" width="20.625" customWidth="1"/>
    <col min="10" max="10" width="16.125" customWidth="1"/>
    <col min="13" max="13" width="22.625" customWidth="1"/>
    <col min="14" max="14" width="36.625" bestFit="1" customWidth="1"/>
    <col min="15" max="15" width="10.125" customWidth="1"/>
    <col min="16" max="16" width="18.125" bestFit="1" customWidth="1"/>
    <col min="17" max="17" width="30.125" customWidth="1"/>
    <col min="18" max="18" width="11.125" customWidth="1"/>
    <col min="19" max="19" width="24.125" customWidth="1"/>
    <col min="20" max="20" width="16.625" customWidth="1"/>
    <col min="22" max="22" width="29.625" customWidth="1"/>
    <col min="23" max="23" width="10.625" bestFit="1" customWidth="1"/>
    <col min="25" max="25" width="36.125" customWidth="1"/>
    <col min="26" max="26" width="13.625" customWidth="1"/>
    <col min="27" max="27" width="10" customWidth="1"/>
  </cols>
  <sheetData>
    <row r="1" spans="1:30" ht="18.95" thickBot="1">
      <c r="C1" s="35"/>
      <c r="D1" s="35"/>
      <c r="E1" s="35"/>
      <c r="F1" s="35"/>
      <c r="G1" s="35"/>
    </row>
    <row r="2" spans="1:30" ht="24" customHeight="1">
      <c r="A2" s="59" t="s">
        <v>0</v>
      </c>
      <c r="B2" s="58">
        <v>13</v>
      </c>
      <c r="C2" s="57" t="str">
        <f>MID(SUBSTITUTE(B2," ", ""),1,2)</f>
        <v>13</v>
      </c>
      <c r="D2" s="57" t="str">
        <f>MID(SUBSTITUTE(B2," ", ""),3,2)</f>
        <v/>
      </c>
      <c r="E2" s="56" t="str">
        <f>MID(SUBSTITUTE(B2," ", ""),5,2)</f>
        <v/>
      </c>
      <c r="F2" s="56" t="str">
        <f>MID(SUBSTITUTE(B2," ", ""),7,2)</f>
        <v/>
      </c>
      <c r="G2" s="55" t="str">
        <f>MID(SUBSTITUTE(B2," ", ""),9,2)</f>
        <v/>
      </c>
      <c r="H2" s="60" t="s">
        <v>1</v>
      </c>
      <c r="I2" s="61"/>
      <c r="J2" s="62" t="s">
        <v>2</v>
      </c>
      <c r="K2" s="61"/>
      <c r="M2" s="54" t="s">
        <v>3</v>
      </c>
      <c r="N2" s="53" t="s">
        <v>4</v>
      </c>
      <c r="P2" s="52" t="s">
        <v>5</v>
      </c>
      <c r="Q2" s="51" t="s">
        <v>6</v>
      </c>
      <c r="S2" s="50" t="s">
        <v>7</v>
      </c>
      <c r="T2" s="6" t="s">
        <v>8</v>
      </c>
      <c r="U2" t="s">
        <v>9</v>
      </c>
      <c r="V2" s="49" t="s">
        <v>10</v>
      </c>
      <c r="W2" s="48"/>
      <c r="Y2" s="47" t="s">
        <v>11</v>
      </c>
      <c r="Z2" s="46" t="s">
        <v>12</v>
      </c>
      <c r="AA2" s="45"/>
      <c r="AD2" s="18" t="s">
        <v>13</v>
      </c>
    </row>
    <row r="3" spans="1:30" ht="21" thickBot="1">
      <c r="A3" s="44"/>
      <c r="B3" s="43"/>
      <c r="C3" s="42"/>
      <c r="D3" s="42" t="str">
        <f>D2&amp;REPT("0",3-LEN(D2))</f>
        <v>000</v>
      </c>
      <c r="E3" s="41"/>
      <c r="F3" s="40"/>
      <c r="G3" s="22" t="str">
        <f>G2&amp;REPT("0",3-LEN(G2))</f>
        <v>000</v>
      </c>
      <c r="H3" s="39" t="s">
        <v>14</v>
      </c>
      <c r="I3" s="15">
        <f>HEX2DEC(C2)/256*3.256*2</f>
        <v>0.48331249999999998</v>
      </c>
      <c r="J3" s="16" t="s">
        <v>15</v>
      </c>
      <c r="K3" s="15">
        <f>IF(HEX2DEC(C2)&gt;127,HEX2DEC(C2)-256,HEX2DEC(C2))</f>
        <v>19</v>
      </c>
      <c r="M3" s="12" t="s">
        <v>16</v>
      </c>
      <c r="N3" s="9" t="str">
        <f>MID(SUBSTITUTE(N2," ", ""),1,2)</f>
        <v>00</v>
      </c>
      <c r="P3" s="38" t="s">
        <v>17</v>
      </c>
      <c r="Q3" s="36">
        <f>HEX2DEC(MID(SUBSTITUTE(Q2," ", ""),5,2))</f>
        <v>0</v>
      </c>
      <c r="S3" s="25" t="s">
        <v>18</v>
      </c>
      <c r="T3" s="8" t="str">
        <f>MID(SUBSTITUTE(T2," ", ""),1,8)</f>
        <v>00040000</v>
      </c>
      <c r="V3" s="25" t="s">
        <v>19</v>
      </c>
      <c r="W3" s="37" t="s">
        <v>20</v>
      </c>
      <c r="Y3" s="26" t="s">
        <v>21</v>
      </c>
      <c r="Z3" s="9" t="str">
        <f>_xlfn.CONCAT(HEX2BIN(MID(Z2,1,1),4),HEX2BIN(MID(Z2,2,1),4),,HEX2BIN(MID(Z2,3,1),4))</f>
        <v>100011110011</v>
      </c>
    </row>
    <row r="4" spans="1:30" ht="20.100000000000001">
      <c r="H4" s="16" t="s">
        <v>22</v>
      </c>
      <c r="I4">
        <f>ROUND(((-3740.1*3.254/4096*(HEX2DEC(D3)))+6000),2)</f>
        <v>6000</v>
      </c>
      <c r="J4" s="16" t="s">
        <v>23</v>
      </c>
      <c r="K4" s="15">
        <f>IF(HEX2DEC(D2)&gt;127,HEX2DEC(D2)-256,HEX2DEC(D2))</f>
        <v>0</v>
      </c>
      <c r="M4" s="12" t="s">
        <v>24</v>
      </c>
      <c r="N4" s="9" t="str">
        <f>MID(SUBSTITUTE(N2," ", ""),3,2)</f>
        <v>00</v>
      </c>
      <c r="P4" s="25" t="s">
        <v>25</v>
      </c>
      <c r="Q4" s="36">
        <f>HEX2DEC(MID(SUBSTITUTE(Q2," ", ""),7,2))</f>
        <v>0</v>
      </c>
      <c r="S4" s="25" t="s">
        <v>26</v>
      </c>
      <c r="T4" s="8" t="str">
        <f>MID(SUBSTITUTE(T2," ", ""),9,8)</f>
        <v>00050000</v>
      </c>
      <c r="V4" s="25" t="s">
        <v>27</v>
      </c>
      <c r="W4" s="9">
        <v>300</v>
      </c>
      <c r="Y4" s="26" t="s">
        <v>28</v>
      </c>
      <c r="Z4" s="9" t="str">
        <f>MID(_xlfn.CONCAT(HEX2BIN(MID(Z2,1,1),4),HEX2BIN(MID(Z2,2,1),4),,HEX2BIN(MID(Z2,3,1),4)),1,1)</f>
        <v>1</v>
      </c>
    </row>
    <row r="5" spans="1:30" ht="21" thickBot="1">
      <c r="H5" s="16" t="s">
        <v>29</v>
      </c>
      <c r="I5" s="15">
        <f>75-HEX2DEC(E2)/256*3.256*30</f>
        <v>75</v>
      </c>
      <c r="J5" s="16" t="s">
        <v>30</v>
      </c>
      <c r="K5" s="15">
        <f>IF(HEX2DEC(E2)&gt;127,HEX2DEC(E2)-256,HEX2DEC(E2))</f>
        <v>0</v>
      </c>
      <c r="M5" s="12" t="s">
        <v>31</v>
      </c>
      <c r="N5" s="9" t="str">
        <f>MID(SUBSTITUTE(N2," ", ""),5,2)</f>
        <v>00</v>
      </c>
      <c r="P5" s="25" t="s">
        <v>32</v>
      </c>
      <c r="Q5" s="36">
        <f>HEX2DEC(MID(SUBSTITUTE(Q2," ", ""),9,2))</f>
        <v>0</v>
      </c>
      <c r="S5" s="25" t="s">
        <v>33</v>
      </c>
      <c r="T5" s="8" t="str">
        <f>MID(SUBSTITUTE(T2," ", ""),17,8)</f>
        <v>00060155</v>
      </c>
      <c r="V5" s="21" t="s">
        <v>34</v>
      </c>
      <c r="W5" s="20" t="str">
        <f>DEC2HEX(HEX2DEC(SUBSTITUTE(W3, " ", ""))+W4*81)</f>
        <v>138F1A0</v>
      </c>
      <c r="Y5" s="26" t="s">
        <v>35</v>
      </c>
      <c r="Z5" s="9" t="str">
        <f>MID(_xlfn.CONCAT(HEX2BIN(MID(Z2,1,1),4),HEX2BIN(MID(Z2,2,1),4),,HEX2BIN(MID(Z2,3,1),4)),2,1)</f>
        <v>0</v>
      </c>
    </row>
    <row r="6" spans="1:30" ht="20.100000000000001">
      <c r="A6" s="18"/>
      <c r="H6" s="16" t="s">
        <v>36</v>
      </c>
      <c r="I6" s="15" t="str">
        <f>LEFT(RIGHT(HEX2BIN(F2,8),8),1)</f>
        <v>0</v>
      </c>
      <c r="J6" s="16" t="s">
        <v>37</v>
      </c>
      <c r="K6" s="15" t="str">
        <f>LEFT(RIGHT(HEX2BIN(F2,8),8),1)</f>
        <v>0</v>
      </c>
      <c r="M6" s="12" t="s">
        <v>38</v>
      </c>
      <c r="N6" s="9" t="str">
        <f>MID(SUBSTITUTE(N2," ", ""),7,2)</f>
        <v>00</v>
      </c>
      <c r="P6" s="25" t="s">
        <v>39</v>
      </c>
      <c r="Q6" s="31">
        <f xml:space="preserve"> HEX2DEC(MID(SUBSTITUTE(Q2," ", ""),11,4))</f>
        <v>3</v>
      </c>
      <c r="S6" s="25" t="s">
        <v>40</v>
      </c>
      <c r="T6" s="8" t="str">
        <f>MID(SUBSTITUTE(T2," ", ""),25,8)</f>
        <v>01342f30</v>
      </c>
      <c r="Y6" s="26" t="s">
        <v>41</v>
      </c>
      <c r="Z6" s="9" t="str">
        <f>MID(_xlfn.CONCAT(HEX2BIN(MID(Z2,1,1),4),HEX2BIN(MID(Z2,2,1),4),,HEX2BIN(MID(Z2,3,1),4)),3,4)</f>
        <v>0011</v>
      </c>
      <c r="AA6" s="35" t="str">
        <f>_xlfn.CONCAT("Vin",BIN2DEC(Z6))</f>
        <v>Vin3</v>
      </c>
    </row>
    <row r="7" spans="1:30" ht="20.100000000000001">
      <c r="H7" s="16" t="s">
        <v>42</v>
      </c>
      <c r="I7" s="15" t="str">
        <f>IF(LEFT(RIGHT(HEX2BIN(F2,8),7),2)="11","nominal","low")</f>
        <v>low</v>
      </c>
      <c r="J7" s="16" t="s">
        <v>43</v>
      </c>
      <c r="K7" s="15" t="str">
        <f>LEFT(RIGHT(HEX2BIN(F2,8),7),1)</f>
        <v>0</v>
      </c>
      <c r="M7" s="12" t="s">
        <v>44</v>
      </c>
      <c r="N7" s="9" t="str">
        <f>MID(SUBSTITUTE(N2," ", ""),9,2)</f>
        <v>FF</v>
      </c>
      <c r="P7" s="32" t="s">
        <v>45</v>
      </c>
      <c r="Q7" s="34" t="str">
        <f>MID(SUBSTITUTE(Q2," ", ""),15,2)</f>
        <v>25</v>
      </c>
      <c r="S7" s="33" t="s">
        <v>46</v>
      </c>
      <c r="T7" s="7" t="str">
        <f>MID(SUBSTITUTE(T2," ", ""),33,8)</f>
        <v>026002f3</v>
      </c>
      <c r="Y7" s="26" t="s">
        <v>47</v>
      </c>
      <c r="Z7" s="9" t="str">
        <f>MID(_xlfn.CONCAT(HEX2BIN(MID(Z2,1,1),4),HEX2BIN(MID(Z2,2,1),4),,HEX2BIN(MID(Z2,3,1),4)),7,2)</f>
        <v>11</v>
      </c>
    </row>
    <row r="8" spans="1:30" ht="20.100000000000001">
      <c r="C8" t="str">
        <f>MID(SUBSTITUTE($C$5," ",""),160*B7+1, 160)</f>
        <v/>
      </c>
      <c r="H8" s="16" t="s">
        <v>48</v>
      </c>
      <c r="I8" s="15" t="str">
        <f>LEFT(RIGHT(HEX2BIN(F2,8),5),1)</f>
        <v>0</v>
      </c>
      <c r="J8" s="16" t="s">
        <v>49</v>
      </c>
      <c r="K8" s="15" t="str">
        <f>LEFT(RIGHT(HEX2BIN(F2,8),6),1)</f>
        <v>0</v>
      </c>
      <c r="M8" s="12" t="s">
        <v>50</v>
      </c>
      <c r="N8" s="9" t="str">
        <f>MID(SUBSTITUTE(N2," ", ""),11,2)</f>
        <v>66</v>
      </c>
      <c r="P8" s="32" t="s">
        <v>51</v>
      </c>
      <c r="Q8" s="31" t="str">
        <f>MID(SUBSTITUTE(Q2," ", ""),17,2)</f>
        <v>25</v>
      </c>
      <c r="S8" s="25" t="s">
        <v>52</v>
      </c>
      <c r="T8" s="8" t="str">
        <f>MID(SUBSTITUTE(T2," ", ""),41,8)</f>
        <v>039a0000</v>
      </c>
      <c r="Y8" s="26" t="s">
        <v>53</v>
      </c>
      <c r="Z8" s="9" t="str">
        <f>MID(_xlfn.CONCAT(HEX2BIN(MID(Z2,1,1),4),HEX2BIN(MID(Z2,2,1),4),,HEX2BIN(MID(Z2,3,1),4)),9,1)</f>
        <v>0</v>
      </c>
    </row>
    <row r="9" spans="1:30" ht="21" thickBot="1">
      <c r="H9" s="16" t="s">
        <v>54</v>
      </c>
      <c r="I9" s="15" t="str">
        <f>LEFT(RIGHT(HEX2BIN(F2,8),4),1)</f>
        <v>0</v>
      </c>
      <c r="J9" s="16" t="s">
        <v>55</v>
      </c>
      <c r="K9" s="15" t="str">
        <f>LEFT(RIGHT(HEX2BIN(F2,8),5),1)</f>
        <v>0</v>
      </c>
      <c r="M9" s="12" t="s">
        <v>56</v>
      </c>
      <c r="N9" s="9" t="str">
        <f>MID(SUBSTITUTE(N2," ", ""),13,2)</f>
        <v>FF</v>
      </c>
      <c r="P9" s="30" t="s">
        <v>57</v>
      </c>
      <c r="Q9" s="29" t="str">
        <f>MID(SUBSTITUTE(Q2," ", ""),19,2)</f>
        <v>25</v>
      </c>
      <c r="S9" s="25" t="s">
        <v>58</v>
      </c>
      <c r="T9" s="8" t="str">
        <f>MID(SUBSTITUTE(T2," ", ""),49,8)</f>
        <v>03900000</v>
      </c>
      <c r="Y9" s="26" t="s">
        <v>59</v>
      </c>
      <c r="Z9" s="9" t="str">
        <f>MID(_xlfn.CONCAT(HEX2BIN(MID(Z2,1,1),4),HEX2BIN(MID(Z2,2,1),4),,HEX2BIN(MID(Z2,3,1),4)),10,1)</f>
        <v>0</v>
      </c>
    </row>
    <row r="10" spans="1:30" ht="20.100000000000001">
      <c r="H10" s="16" t="s">
        <v>60</v>
      </c>
      <c r="I10" s="15" t="str">
        <f>LEFT(RIGHT(HEX2BIN(F2,8),3),1)</f>
        <v>0</v>
      </c>
      <c r="J10" s="16" t="s">
        <v>61</v>
      </c>
      <c r="K10" s="15" t="str">
        <f>LEFT(RIGHT(HEX2BIN(F2,8),4),1)</f>
        <v>0</v>
      </c>
      <c r="M10" s="12" t="s">
        <v>62</v>
      </c>
      <c r="N10" s="9" t="str">
        <f>MID(SUBSTITUTE(N2," ", ""),15,2)</f>
        <v>FF</v>
      </c>
      <c r="P10" s="28"/>
      <c r="Q10" s="27"/>
      <c r="S10" s="25" t="s">
        <v>63</v>
      </c>
      <c r="T10" s="8" t="str">
        <f>MID(SUBSTITUTE(T2," ", ""),57,8)</f>
        <v>02921860</v>
      </c>
      <c r="Y10" s="26" t="s">
        <v>64</v>
      </c>
      <c r="Z10" s="9" t="str">
        <f>MID(_xlfn.CONCAT(HEX2BIN(MID(Z2,1,1),4),HEX2BIN(MID(Z2,2,1),4),,HEX2BIN(MID(Z2,3,1),4)),11,1)</f>
        <v>1</v>
      </c>
    </row>
    <row r="11" spans="1:30" ht="21" thickBot="1">
      <c r="H11" s="17" t="s">
        <v>65</v>
      </c>
      <c r="I11" s="15" t="str">
        <f>LEFT(RIGHT(HEX2BIN(F2,8),2),1)</f>
        <v>0</v>
      </c>
      <c r="J11" s="16" t="s">
        <v>66</v>
      </c>
      <c r="K11" s="15" t="str">
        <f>LEFT(RIGHT(HEX2BIN(F2,8),3),1)</f>
        <v>0</v>
      </c>
      <c r="M11" s="12" t="s">
        <v>67</v>
      </c>
      <c r="N11" s="9" t="str">
        <f>MID(SUBSTITUTE(N2," ", ""),17,2)</f>
        <v>00</v>
      </c>
      <c r="S11" s="25" t="s">
        <v>68</v>
      </c>
      <c r="T11" s="8" t="str">
        <f>MID(SUBSTITUTE(T2," ", ""),65,2)</f>
        <v>04</v>
      </c>
      <c r="W11" s="24"/>
      <c r="Y11" s="23" t="s">
        <v>69</v>
      </c>
      <c r="Z11" s="22" t="str">
        <f>MID(_xlfn.CONCAT(HEX2BIN(MID(Z2,1,1),4),HEX2BIN(MID(Z2,2,1),4),,HEX2BIN(MID(Z2,3,1),4)),12,1)</f>
        <v>1</v>
      </c>
    </row>
    <row r="12" spans="1:30" ht="21" thickBot="1">
      <c r="H12" s="17" t="s">
        <v>70</v>
      </c>
      <c r="I12" s="15" t="str">
        <f>LEFT(RIGHT(HEX2BIN(F2,8),1),1)</f>
        <v>0</v>
      </c>
      <c r="J12" s="16" t="s">
        <v>71</v>
      </c>
      <c r="K12" s="15" t="str">
        <f>LEFT(RIGHT(HEX2BIN(F2,8),2),1)</f>
        <v>0</v>
      </c>
      <c r="M12" s="12" t="s">
        <v>72</v>
      </c>
      <c r="N12" s="9" t="str">
        <f>MID(SUBSTITUTE(N2," ", ""),19,2)</f>
        <v>00</v>
      </c>
      <c r="S12" s="21" t="s">
        <v>73</v>
      </c>
      <c r="T12" s="20" t="str">
        <f>MID(SUBSTITUTE(T2," ", ""),67,8)</f>
        <v>00000088</v>
      </c>
    </row>
    <row r="13" spans="1:30">
      <c r="H13" s="17" t="s">
        <v>74</v>
      </c>
      <c r="I13" s="15" t="str">
        <f>LEFT(RIGHT(HEX2BIN(G2,8),8),1)</f>
        <v>0</v>
      </c>
      <c r="J13" s="16" t="s">
        <v>75</v>
      </c>
      <c r="K13" s="19" t="str">
        <f>LEFT(RIGHT(HEX2BIN(F2,8),1),1)</f>
        <v>0</v>
      </c>
      <c r="M13" s="12" t="s">
        <v>76</v>
      </c>
      <c r="N13" s="9" t="str">
        <f>MID(SUBSTITUTE(N2," ", ""),21,2)</f>
        <v>01</v>
      </c>
    </row>
    <row r="14" spans="1:30">
      <c r="H14" s="17" t="s">
        <v>77</v>
      </c>
      <c r="I14" s="15" t="str">
        <f>LEFT(RIGHT(HEX2BIN(G2,8),7),1)</f>
        <v>0</v>
      </c>
      <c r="J14" s="16" t="s">
        <v>78</v>
      </c>
      <c r="K14" s="15" t="str">
        <f>LEFT(RIGHT(HEX2BIN(G2,8),1),1)</f>
        <v>0</v>
      </c>
      <c r="L14" s="3"/>
      <c r="M14" s="12" t="s">
        <v>79</v>
      </c>
      <c r="N14" s="9" t="str">
        <f>MID(SUBSTITUTE(N2," ", ""),23,2)</f>
        <v>01</v>
      </c>
      <c r="S14" s="18"/>
      <c r="W14" s="3"/>
    </row>
    <row r="15" spans="1:30">
      <c r="H15" s="17" t="s">
        <v>80</v>
      </c>
      <c r="I15" s="15" t="str">
        <f>LEFT(RIGHT(HEX2BIN(G2,8),6),1)</f>
        <v>0</v>
      </c>
      <c r="J15" s="16" t="s">
        <v>81</v>
      </c>
      <c r="K15" s="15" t="str">
        <f>LEFT(RIGHT(HEX2BIN(G2,8),1),1)</f>
        <v>0</v>
      </c>
      <c r="M15" s="12" t="s">
        <v>82</v>
      </c>
      <c r="N15" s="9" t="str">
        <f>MID(SUBSTITUTE(N2," ", ""),25,2)</f>
        <v>01</v>
      </c>
      <c r="V15" t="s">
        <v>83</v>
      </c>
    </row>
    <row r="16" spans="1:30" ht="18.95" thickBot="1">
      <c r="H16" s="14" t="s">
        <v>84</v>
      </c>
      <c r="I16" s="13">
        <f>BIN2DEC(LEFT(RIGHT(HEX2BIN(G2),5),5))</f>
        <v>0</v>
      </c>
      <c r="J16" s="14"/>
      <c r="K16" s="13"/>
      <c r="M16" s="12" t="s">
        <v>85</v>
      </c>
      <c r="N16" s="9" t="str">
        <f>MID(SUBSTITUTE(N2," ", ""),27,2)</f>
        <v>00</v>
      </c>
      <c r="T16" s="11" t="s">
        <v>86</v>
      </c>
      <c r="V16" t="s">
        <v>87</v>
      </c>
    </row>
    <row r="17" spans="8:22" ht="18.95" thickBot="1">
      <c r="M17" s="10" t="s">
        <v>88</v>
      </c>
      <c r="N17" s="9" t="str">
        <f>MID(SUBSTITUTE(N2," ", ""),29,2)</f>
        <v>00</v>
      </c>
      <c r="T17" s="8" t="str">
        <f>MID(SUBSTITUTE(T13," ", ""),25,8)</f>
        <v/>
      </c>
      <c r="V17" t="s">
        <v>89</v>
      </c>
    </row>
    <row r="18" spans="8:22">
      <c r="T18" s="7" t="str">
        <f>MID(SUBSTITUTE(T13," ", ""),33,8)</f>
        <v/>
      </c>
      <c r="V18" s="6" t="s">
        <v>89</v>
      </c>
    </row>
    <row r="19" spans="8:22">
      <c r="I19" s="5">
        <f>ROUND((-2.99589*HEX2DEC(D3))+6129.78533,2)</f>
        <v>6129.79</v>
      </c>
    </row>
    <row r="21" spans="8:22">
      <c r="S21" s="4"/>
    </row>
    <row r="23" spans="8:22">
      <c r="H23" t="s">
        <v>90</v>
      </c>
    </row>
  </sheetData>
  <mergeCells count="2">
    <mergeCell ref="H2:I2"/>
    <mergeCell ref="J2:K2"/>
  </mergeCells>
  <phoneticPr fontId="1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8AA-F1A6-B04F-9E71-C26B3FD5EC02}">
  <dimension ref="A1:AD23"/>
  <sheetViews>
    <sheetView workbookViewId="0">
      <selection activeCell="I12" sqref="I12"/>
    </sheetView>
  </sheetViews>
  <sheetFormatPr defaultColWidth="9.125" defaultRowHeight="18"/>
  <cols>
    <col min="1" max="1" width="11.625" customWidth="1"/>
    <col min="2" max="2" width="15.625" style="3" customWidth="1"/>
    <col min="3" max="3" width="3.625" customWidth="1"/>
    <col min="4" max="4" width="4.125" customWidth="1"/>
    <col min="5" max="5" width="4.125" style="2" customWidth="1"/>
    <col min="6" max="6" width="3.625" style="1" customWidth="1"/>
    <col min="7" max="7" width="4.125" bestFit="1" customWidth="1"/>
    <col min="8" max="8" width="20.625" customWidth="1"/>
    <col min="10" max="10" width="16.125" customWidth="1"/>
    <col min="13" max="13" width="22.625" customWidth="1"/>
    <col min="14" max="14" width="36.625" bestFit="1" customWidth="1"/>
    <col min="15" max="15" width="10.125" customWidth="1"/>
    <col min="16" max="16" width="18.125" bestFit="1" customWidth="1"/>
    <col min="17" max="17" width="30.125" customWidth="1"/>
    <col min="18" max="18" width="11.125" customWidth="1"/>
    <col min="19" max="19" width="24.125" customWidth="1"/>
    <col min="20" max="20" width="16.625" customWidth="1"/>
    <col min="22" max="22" width="29.625" customWidth="1"/>
    <col min="23" max="23" width="10.625" bestFit="1" customWidth="1"/>
    <col min="25" max="25" width="32.125" customWidth="1"/>
    <col min="26" max="26" width="13.625" customWidth="1"/>
    <col min="27" max="27" width="10" customWidth="1"/>
  </cols>
  <sheetData>
    <row r="1" spans="1:30" ht="18.95" thickBot="1">
      <c r="C1" s="35"/>
      <c r="D1" s="35"/>
      <c r="E1" s="35"/>
      <c r="F1" s="35"/>
      <c r="G1" s="35"/>
    </row>
    <row r="2" spans="1:30" ht="24" customHeight="1">
      <c r="A2" s="59" t="s">
        <v>0</v>
      </c>
      <c r="B2" s="58">
        <v>13</v>
      </c>
      <c r="C2" s="57" t="str">
        <f>MID(SUBSTITUTE(B2," ", ""),1,2)</f>
        <v>13</v>
      </c>
      <c r="D2" s="57" t="str">
        <f>MID(SUBSTITUTE(B2," ", ""),3,2)</f>
        <v/>
      </c>
      <c r="E2" s="56" t="str">
        <f>MID(SUBSTITUTE(B2," ", ""),5,2)</f>
        <v/>
      </c>
      <c r="F2" s="56" t="str">
        <f>MID(SUBSTITUTE(B2," ", ""),7,2)</f>
        <v/>
      </c>
      <c r="G2" s="55" t="str">
        <f>MID(SUBSTITUTE(B2," ", ""),9,2)</f>
        <v/>
      </c>
      <c r="H2" s="60" t="s">
        <v>1</v>
      </c>
      <c r="I2" s="61"/>
      <c r="J2" s="62" t="s">
        <v>2</v>
      </c>
      <c r="K2" s="61"/>
      <c r="M2" s="54" t="s">
        <v>3</v>
      </c>
      <c r="N2" s="53" t="s">
        <v>4</v>
      </c>
      <c r="P2" s="52" t="s">
        <v>5</v>
      </c>
      <c r="Q2" s="51" t="s">
        <v>6</v>
      </c>
      <c r="S2" s="50" t="s">
        <v>7</v>
      </c>
      <c r="T2" s="6" t="s">
        <v>8</v>
      </c>
      <c r="U2" t="s">
        <v>9</v>
      </c>
      <c r="V2" s="49" t="s">
        <v>10</v>
      </c>
      <c r="W2" s="48"/>
      <c r="Y2" s="47" t="s">
        <v>11</v>
      </c>
      <c r="Z2" s="46" t="s">
        <v>12</v>
      </c>
      <c r="AA2" s="45"/>
      <c r="AD2" s="18" t="s">
        <v>13</v>
      </c>
    </row>
    <row r="3" spans="1:30" ht="21" thickBot="1">
      <c r="A3" s="44"/>
      <c r="B3" s="43"/>
      <c r="C3" s="42"/>
      <c r="D3" s="42" t="str">
        <f>D2&amp;REPT("0",3-LEN(D2))</f>
        <v>000</v>
      </c>
      <c r="E3" s="41"/>
      <c r="F3" s="40"/>
      <c r="G3" s="22" t="str">
        <f>G2&amp;REPT("0",3-LEN(G2))</f>
        <v>000</v>
      </c>
      <c r="H3" s="39" t="s">
        <v>14</v>
      </c>
      <c r="I3" s="15">
        <f>HEX2DEC(C2)/256*3.256*2</f>
        <v>0.48331249999999998</v>
      </c>
      <c r="J3" s="16" t="s">
        <v>15</v>
      </c>
      <c r="K3" s="15">
        <f>IF(HEX2DEC(C2)&gt;127,HEX2DEC(C2)-256,HEX2DEC(C2))</f>
        <v>19</v>
      </c>
      <c r="M3" s="12" t="s">
        <v>16</v>
      </c>
      <c r="N3" s="9" t="str">
        <f>MID(SUBSTITUTE(N2," ", ""),1,2)</f>
        <v>00</v>
      </c>
      <c r="P3" s="38" t="s">
        <v>17</v>
      </c>
      <c r="Q3" s="36">
        <f>HEX2DEC(MID(SUBSTITUTE(Q2," ", ""),5,2))</f>
        <v>0</v>
      </c>
      <c r="S3" s="25" t="s">
        <v>18</v>
      </c>
      <c r="T3" s="8" t="str">
        <f>MID(SUBSTITUTE(T2," ", ""),1,8)</f>
        <v>00040000</v>
      </c>
      <c r="V3" s="25" t="s">
        <v>19</v>
      </c>
      <c r="W3" s="37" t="s">
        <v>20</v>
      </c>
      <c r="Y3" s="26" t="s">
        <v>21</v>
      </c>
      <c r="Z3" s="9" t="str">
        <f>_xlfn.CONCAT(HEX2BIN(MID(Z2,1,1),4),HEX2BIN(MID(Z2,2,1),4),,HEX2BIN(MID(Z2,3,1),4))</f>
        <v>100011110011</v>
      </c>
    </row>
    <row r="4" spans="1:30" ht="20.100000000000001">
      <c r="H4" s="16" t="s">
        <v>22</v>
      </c>
      <c r="I4">
        <f>ROUND(((-3740.1*3.254/4096*(HEX2DEC(D3)))+6000),2)</f>
        <v>6000</v>
      </c>
      <c r="J4" s="16" t="s">
        <v>23</v>
      </c>
      <c r="K4" s="15">
        <f>IF(HEX2DEC(D2)&gt;127,HEX2DEC(D2)-256,HEX2DEC(D2))</f>
        <v>0</v>
      </c>
      <c r="M4" s="12" t="s">
        <v>24</v>
      </c>
      <c r="N4" s="9" t="str">
        <f>MID(SUBSTITUTE(N2," ", ""),3,2)</f>
        <v>00</v>
      </c>
      <c r="P4" s="25" t="s">
        <v>25</v>
      </c>
      <c r="Q4" s="36">
        <f>HEX2DEC(MID(SUBSTITUTE(Q2," ", ""),7,2))</f>
        <v>0</v>
      </c>
      <c r="S4" s="25" t="s">
        <v>26</v>
      </c>
      <c r="T4" s="8" t="str">
        <f>MID(SUBSTITUTE(T2," ", ""),9,8)</f>
        <v>00050000</v>
      </c>
      <c r="V4" s="25" t="s">
        <v>27</v>
      </c>
      <c r="W4" s="9">
        <v>300</v>
      </c>
      <c r="Y4" s="26" t="s">
        <v>28</v>
      </c>
      <c r="Z4" s="9" t="str">
        <f>MID(_xlfn.CONCAT(HEX2BIN(MID(Z2,1,1),4),HEX2BIN(MID(Z2,2,1),4),,HEX2BIN(MID(Z2,3,1),4)),1,1)</f>
        <v>1</v>
      </c>
    </row>
    <row r="5" spans="1:30" ht="21" thickBot="1">
      <c r="H5" s="16" t="s">
        <v>29</v>
      </c>
      <c r="I5" s="15">
        <f>75-HEX2DEC(E2)/256*3.256*30</f>
        <v>75</v>
      </c>
      <c r="J5" s="16" t="s">
        <v>30</v>
      </c>
      <c r="K5" s="15">
        <f>IF(HEX2DEC(E2)&gt;127,HEX2DEC(E2)-256,HEX2DEC(E2))</f>
        <v>0</v>
      </c>
      <c r="M5" s="12" t="s">
        <v>31</v>
      </c>
      <c r="N5" s="9" t="str">
        <f>MID(SUBSTITUTE(N2," ", ""),5,2)</f>
        <v>00</v>
      </c>
      <c r="P5" s="25" t="s">
        <v>32</v>
      </c>
      <c r="Q5" s="36">
        <f>HEX2DEC(MID(SUBSTITUTE(Q2," ", ""),9,2))</f>
        <v>0</v>
      </c>
      <c r="S5" s="25" t="s">
        <v>33</v>
      </c>
      <c r="T5" s="8" t="str">
        <f>MID(SUBSTITUTE(T2," ", ""),17,8)</f>
        <v>00060155</v>
      </c>
      <c r="V5" s="21" t="s">
        <v>34</v>
      </c>
      <c r="W5" s="20" t="str">
        <f>DEC2HEX(HEX2DEC(SUBSTITUTE(W3, " ", ""))+W4*81)</f>
        <v>138F1A0</v>
      </c>
      <c r="Y5" s="26" t="s">
        <v>35</v>
      </c>
      <c r="Z5" s="9" t="str">
        <f>MID(_xlfn.CONCAT(HEX2BIN(MID(Z2,1,1),4),HEX2BIN(MID(Z2,2,1),4),,HEX2BIN(MID(Z2,3,1),4)),2,1)</f>
        <v>0</v>
      </c>
    </row>
    <row r="6" spans="1:30" ht="20.100000000000001">
      <c r="A6" s="18"/>
      <c r="H6" s="16" t="s">
        <v>36</v>
      </c>
      <c r="I6" s="15" t="str">
        <f>LEFT(RIGHT(HEX2BIN(F2,8),8),1)</f>
        <v>0</v>
      </c>
      <c r="J6" s="16" t="s">
        <v>37</v>
      </c>
      <c r="K6" s="15" t="str">
        <f>LEFT(RIGHT(HEX2BIN(F2,8),8),1)</f>
        <v>0</v>
      </c>
      <c r="M6" s="12" t="s">
        <v>38</v>
      </c>
      <c r="N6" s="9" t="str">
        <f>MID(SUBSTITUTE(N2," ", ""),7,2)</f>
        <v>00</v>
      </c>
      <c r="P6" s="25" t="s">
        <v>39</v>
      </c>
      <c r="Q6" s="31">
        <f xml:space="preserve"> HEX2DEC(MID(SUBSTITUTE(Q2," ", ""),11,4))</f>
        <v>3</v>
      </c>
      <c r="S6" s="25" t="s">
        <v>40</v>
      </c>
      <c r="T6" s="8" t="str">
        <f>MID(SUBSTITUTE(T2," ", ""),25,8)</f>
        <v>01342f30</v>
      </c>
      <c r="Y6" s="26" t="s">
        <v>41</v>
      </c>
      <c r="Z6" s="9" t="str">
        <f>MID(_xlfn.CONCAT(HEX2BIN(MID(Z2,1,1),4),HEX2BIN(MID(Z2,2,1),4),,HEX2BIN(MID(Z2,3,1),4)),3,4)</f>
        <v>0011</v>
      </c>
      <c r="AA6" s="35" t="str">
        <f>_xlfn.CONCAT("Vin",BIN2DEC(Z6))</f>
        <v>Vin3</v>
      </c>
    </row>
    <row r="7" spans="1:30" ht="20.100000000000001">
      <c r="H7" s="16" t="s">
        <v>42</v>
      </c>
      <c r="I7" s="15" t="str">
        <f>IF(LEFT(RIGHT(HEX2BIN(F2,8),7),2)="11","nominal","low")</f>
        <v>low</v>
      </c>
      <c r="J7" s="16" t="s">
        <v>43</v>
      </c>
      <c r="K7" s="15" t="str">
        <f>LEFT(RIGHT(HEX2BIN(F2,8),7),1)</f>
        <v>0</v>
      </c>
      <c r="M7" s="12" t="s">
        <v>44</v>
      </c>
      <c r="N7" s="9" t="str">
        <f>MID(SUBSTITUTE(N2," ", ""),9,2)</f>
        <v>FF</v>
      </c>
      <c r="P7" s="32" t="s">
        <v>45</v>
      </c>
      <c r="Q7" s="34" t="str">
        <f>MID(SUBSTITUTE(Q2," ", ""),15,2)</f>
        <v>25</v>
      </c>
      <c r="S7" s="33" t="s">
        <v>46</v>
      </c>
      <c r="T7" s="7" t="str">
        <f>MID(SUBSTITUTE(T2," ", ""),33,8)</f>
        <v>026002f3</v>
      </c>
      <c r="Y7" s="26" t="s">
        <v>47</v>
      </c>
      <c r="Z7" s="9" t="str">
        <f>MID(_xlfn.CONCAT(HEX2BIN(MID(Z2,1,1),4),HEX2BIN(MID(Z2,2,1),4),,HEX2BIN(MID(Z2,3,1),4)),7,2)</f>
        <v>11</v>
      </c>
    </row>
    <row r="8" spans="1:30" ht="20.100000000000001">
      <c r="C8" t="str">
        <f>MID(SUBSTITUTE($C$5," ",""),160*B7+1, 160)</f>
        <v/>
      </c>
      <c r="H8" s="16" t="s">
        <v>48</v>
      </c>
      <c r="I8" s="15" t="str">
        <f>LEFT(RIGHT(HEX2BIN(F2,8),5),1)</f>
        <v>0</v>
      </c>
      <c r="J8" s="16" t="s">
        <v>49</v>
      </c>
      <c r="K8" s="15" t="str">
        <f>LEFT(RIGHT(HEX2BIN(F2,8),6),1)</f>
        <v>0</v>
      </c>
      <c r="M8" s="12" t="s">
        <v>50</v>
      </c>
      <c r="N8" s="9" t="str">
        <f>MID(SUBSTITUTE(N2," ", ""),11,2)</f>
        <v>66</v>
      </c>
      <c r="P8" s="32" t="s">
        <v>51</v>
      </c>
      <c r="Q8" s="31" t="str">
        <f>MID(SUBSTITUTE(Q2," ", ""),17,2)</f>
        <v>25</v>
      </c>
      <c r="S8" s="25" t="s">
        <v>52</v>
      </c>
      <c r="T8" s="8" t="str">
        <f>MID(SUBSTITUTE(T2," ", ""),41,8)</f>
        <v>039a0000</v>
      </c>
      <c r="Y8" s="26" t="s">
        <v>53</v>
      </c>
      <c r="Z8" s="9" t="str">
        <f>MID(_xlfn.CONCAT(HEX2BIN(MID(Z2,1,1),4),HEX2BIN(MID(Z2,2,1),4),,HEX2BIN(MID(Z2,3,1),4)),9,1)</f>
        <v>0</v>
      </c>
    </row>
    <row r="9" spans="1:30" ht="21" thickBot="1">
      <c r="H9" s="16" t="s">
        <v>54</v>
      </c>
      <c r="I9" s="15" t="str">
        <f>LEFT(RIGHT(HEX2BIN(F2,8),4),1)</f>
        <v>0</v>
      </c>
      <c r="J9" s="16" t="s">
        <v>55</v>
      </c>
      <c r="K9" s="15" t="str">
        <f>LEFT(RIGHT(HEX2BIN(F2,8),5),1)</f>
        <v>0</v>
      </c>
      <c r="M9" s="12" t="s">
        <v>56</v>
      </c>
      <c r="N9" s="9" t="str">
        <f>MID(SUBSTITUTE(N2," ", ""),13,2)</f>
        <v>FF</v>
      </c>
      <c r="P9" s="30" t="s">
        <v>57</v>
      </c>
      <c r="Q9" s="29" t="str">
        <f>MID(SUBSTITUTE(Q2," ", ""),19,2)</f>
        <v>25</v>
      </c>
      <c r="S9" s="25" t="s">
        <v>58</v>
      </c>
      <c r="T9" s="8" t="str">
        <f>MID(SUBSTITUTE(T2," ", ""),49,8)</f>
        <v>03900000</v>
      </c>
      <c r="Y9" s="26" t="s">
        <v>59</v>
      </c>
      <c r="Z9" s="9" t="str">
        <f>MID(_xlfn.CONCAT(HEX2BIN(MID(Z2,1,1),4),HEX2BIN(MID(Z2,2,1),4),,HEX2BIN(MID(Z2,3,1),4)),10,1)</f>
        <v>0</v>
      </c>
    </row>
    <row r="10" spans="1:30" ht="20.100000000000001">
      <c r="H10" s="16" t="s">
        <v>60</v>
      </c>
      <c r="I10" s="15" t="str">
        <f>LEFT(RIGHT(HEX2BIN(F2,8),3),1)</f>
        <v>0</v>
      </c>
      <c r="J10" s="16" t="s">
        <v>61</v>
      </c>
      <c r="K10" s="15" t="str">
        <f>LEFT(RIGHT(HEX2BIN(F2,8),4),1)</f>
        <v>0</v>
      </c>
      <c r="M10" s="12" t="s">
        <v>62</v>
      </c>
      <c r="N10" s="9" t="str">
        <f>MID(SUBSTITUTE(N2," ", ""),15,2)</f>
        <v>FF</v>
      </c>
      <c r="P10" s="28"/>
      <c r="Q10" s="27"/>
      <c r="S10" s="25" t="s">
        <v>63</v>
      </c>
      <c r="T10" s="8" t="str">
        <f>MID(SUBSTITUTE(T2," ", ""),57,8)</f>
        <v>02921860</v>
      </c>
      <c r="Y10" s="26" t="s">
        <v>64</v>
      </c>
      <c r="Z10" s="9" t="str">
        <f>MID(_xlfn.CONCAT(HEX2BIN(MID(Z2,1,1),4),HEX2BIN(MID(Z2,2,1),4),,HEX2BIN(MID(Z2,3,1),4)),11,1)</f>
        <v>1</v>
      </c>
    </row>
    <row r="11" spans="1:30" ht="21" thickBot="1">
      <c r="H11" s="17" t="s">
        <v>65</v>
      </c>
      <c r="I11" s="15" t="str">
        <f>LEFT(RIGHT(HEX2BIN(F2,8),2),1)</f>
        <v>0</v>
      </c>
      <c r="J11" s="16" t="s">
        <v>66</v>
      </c>
      <c r="K11" s="15" t="str">
        <f>LEFT(RIGHT(HEX2BIN(F2,8),3),1)</f>
        <v>0</v>
      </c>
      <c r="M11" s="12" t="s">
        <v>67</v>
      </c>
      <c r="N11" s="9" t="str">
        <f>MID(SUBSTITUTE(N2," ", ""),17,2)</f>
        <v>00</v>
      </c>
      <c r="S11" s="25" t="s">
        <v>68</v>
      </c>
      <c r="T11" s="8" t="str">
        <f>MID(SUBSTITUTE(T2," ", ""),65,2)</f>
        <v>04</v>
      </c>
      <c r="W11" s="24"/>
      <c r="Y11" s="23" t="s">
        <v>69</v>
      </c>
      <c r="Z11" s="22" t="str">
        <f>MID(_xlfn.CONCAT(HEX2BIN(MID(Z2,1,1),4),HEX2BIN(MID(Z2,2,1),4),,HEX2BIN(MID(Z2,3,1),4)),12,1)</f>
        <v>1</v>
      </c>
    </row>
    <row r="12" spans="1:30" ht="21" thickBot="1">
      <c r="H12" s="17" t="s">
        <v>70</v>
      </c>
      <c r="I12" s="15" t="str">
        <f>LEFT(RIGHT(HEX2BIN(F2,8),1),1)</f>
        <v>0</v>
      </c>
      <c r="J12" s="16" t="s">
        <v>71</v>
      </c>
      <c r="K12" s="15" t="str">
        <f>LEFT(RIGHT(HEX2BIN(F2,8),2),1)</f>
        <v>0</v>
      </c>
      <c r="M12" s="12" t="s">
        <v>72</v>
      </c>
      <c r="N12" s="9" t="str">
        <f>MID(SUBSTITUTE(N2," ", ""),19,2)</f>
        <v>00</v>
      </c>
      <c r="S12" s="21" t="s">
        <v>73</v>
      </c>
      <c r="T12" s="20" t="str">
        <f>MID(SUBSTITUTE(T2," ", ""),67,8)</f>
        <v>00000088</v>
      </c>
    </row>
    <row r="13" spans="1:30">
      <c r="H13" s="17" t="s">
        <v>74</v>
      </c>
      <c r="I13" s="15" t="str">
        <f>LEFT(RIGHT(HEX2BIN(G2,8),8),1)</f>
        <v>0</v>
      </c>
      <c r="J13" s="16" t="s">
        <v>75</v>
      </c>
      <c r="K13" s="19" t="str">
        <f>LEFT(RIGHT(HEX2BIN(F2,8),1),1)</f>
        <v>0</v>
      </c>
      <c r="M13" s="12" t="s">
        <v>76</v>
      </c>
      <c r="N13" s="9" t="str">
        <f>MID(SUBSTITUTE(N2," ", ""),21,2)</f>
        <v>01</v>
      </c>
    </row>
    <row r="14" spans="1:30">
      <c r="H14" s="17" t="s">
        <v>77</v>
      </c>
      <c r="I14" s="15" t="str">
        <f>LEFT(RIGHT(HEX2BIN(G2,8),7),1)</f>
        <v>0</v>
      </c>
      <c r="J14" s="16" t="s">
        <v>78</v>
      </c>
      <c r="K14" s="15" t="str">
        <f>LEFT(RIGHT(HEX2BIN(G2,8),1),1)</f>
        <v>0</v>
      </c>
      <c r="L14" s="3"/>
      <c r="M14" s="12" t="s">
        <v>79</v>
      </c>
      <c r="N14" s="9" t="str">
        <f>MID(SUBSTITUTE(N2," ", ""),23,2)</f>
        <v>01</v>
      </c>
      <c r="S14" s="18"/>
      <c r="W14" s="3"/>
    </row>
    <row r="15" spans="1:30">
      <c r="H15" s="17" t="s">
        <v>80</v>
      </c>
      <c r="I15" s="15" t="str">
        <f>LEFT(RIGHT(HEX2BIN(G2,8),6),1)</f>
        <v>0</v>
      </c>
      <c r="J15" s="16" t="s">
        <v>81</v>
      </c>
      <c r="K15" s="15" t="str">
        <f>LEFT(RIGHT(HEX2BIN(G2,8),1),1)</f>
        <v>0</v>
      </c>
      <c r="M15" s="12" t="s">
        <v>82</v>
      </c>
      <c r="N15" s="9" t="str">
        <f>MID(SUBSTITUTE(N2," ", ""),25,2)</f>
        <v>01</v>
      </c>
      <c r="V15" t="s">
        <v>83</v>
      </c>
    </row>
    <row r="16" spans="1:30" ht="18.95" thickBot="1">
      <c r="H16" s="14" t="s">
        <v>84</v>
      </c>
      <c r="I16" s="13">
        <f>BIN2DEC(LEFT(RIGHT(HEX2BIN(G2),5),5))</f>
        <v>0</v>
      </c>
      <c r="J16" s="14"/>
      <c r="K16" s="13"/>
      <c r="M16" s="12" t="s">
        <v>85</v>
      </c>
      <c r="N16" s="9" t="str">
        <f>MID(SUBSTITUTE(N2," ", ""),27,2)</f>
        <v>00</v>
      </c>
      <c r="T16" s="11" t="s">
        <v>86</v>
      </c>
      <c r="V16" t="s">
        <v>87</v>
      </c>
    </row>
    <row r="17" spans="8:22" ht="18.95" thickBot="1">
      <c r="M17" s="10" t="s">
        <v>88</v>
      </c>
      <c r="N17" s="9" t="str">
        <f>MID(SUBSTITUTE(N2," ", ""),29,2)</f>
        <v>00</v>
      </c>
      <c r="T17" s="8" t="str">
        <f>MID(SUBSTITUTE(T13," ", ""),25,8)</f>
        <v/>
      </c>
      <c r="V17" t="s">
        <v>89</v>
      </c>
    </row>
    <row r="18" spans="8:22">
      <c r="T18" s="7" t="str">
        <f>MID(SUBSTITUTE(T13," ", ""),33,8)</f>
        <v/>
      </c>
      <c r="V18" s="6" t="s">
        <v>89</v>
      </c>
    </row>
    <row r="19" spans="8:22">
      <c r="I19" s="5">
        <f>ROUND((-2.99589*HEX2DEC(D3))+6129.78533,2)</f>
        <v>6129.79</v>
      </c>
    </row>
    <row r="21" spans="8:22">
      <c r="S21" s="4"/>
    </row>
    <row r="23" spans="8:22">
      <c r="H23" t="s">
        <v>90</v>
      </c>
    </row>
  </sheetData>
  <mergeCells count="2">
    <mergeCell ref="H2:I2"/>
    <mergeCell ref="J2:K2"/>
  </mergeCells>
  <phoneticPr fontId="1"/>
  <pageMargins left="0.7" right="0.7" top="0.75" bottom="0.75" header="0.3" footer="0.3"/>
  <pageSetup paperSize="9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ColWidth="8.875" defaultRowHeight="18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281834-bd77-4da8-9b5c-8cdc7ad0c56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52E1EFDCF6F64990155574BBDBDC84" ma:contentTypeVersion="14" ma:contentTypeDescription="新しいドキュメントを作成します。" ma:contentTypeScope="" ma:versionID="19b414c3d9da9451ede3c10639b9d807">
  <xsd:schema xmlns:xsd="http://www.w3.org/2001/XMLSchema" xmlns:xs="http://www.w3.org/2001/XMLSchema" xmlns:p="http://schemas.microsoft.com/office/2006/metadata/properties" xmlns:ns2="63281834-bd77-4da8-9b5c-8cdc7ad0c569" xmlns:ns3="64183b6c-8ea3-4ca2-af76-7bf4d48b8167" targetNamespace="http://schemas.microsoft.com/office/2006/metadata/properties" ma:root="true" ma:fieldsID="1249fea17e49e03d1deddd1e94109679" ns2:_="" ns3:_="">
    <xsd:import namespace="63281834-bd77-4da8-9b5c-8cdc7ad0c569"/>
    <xsd:import namespace="64183b6c-8ea3-4ca2-af76-7bf4d48b8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81834-bd77-4da8-9b5c-8cdc7ad0c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83b6c-8ea3-4ca2-af76-7bf4d48b816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8FC676-740B-499B-AE56-6F6EB4DD24F0}"/>
</file>

<file path=customXml/itemProps2.xml><?xml version="1.0" encoding="utf-8"?>
<ds:datastoreItem xmlns:ds="http://schemas.openxmlformats.org/officeDocument/2006/customXml" ds:itemID="{43B5043E-9706-4FCD-928D-5A50B85A5A6A}"/>
</file>

<file path=customXml/itemProps3.xml><?xml version="1.0" encoding="utf-8"?>
<ds:datastoreItem xmlns:ds="http://schemas.openxmlformats.org/officeDocument/2006/customXml" ds:itemID="{46B91468-A2B8-401E-9958-160FAD77C0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GHALEB Ramadan Aziz Sara</cp:lastModifiedBy>
  <cp:revision/>
  <dcterms:created xsi:type="dcterms:W3CDTF">2023-08-25T08:36:30Z</dcterms:created>
  <dcterms:modified xsi:type="dcterms:W3CDTF">2023-12-10T08:27:25Z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0x0101009C52E1EFDCF6F64990155574BBDBDC84</vt:lpwstr>
  </property>
  <property fmtid="{D5CDD505-2E9C-101B-9397-08002B2CF9AE}" pid="3" name="MediaServiceImageTags">
    <vt:lpwstr/>
  </property>
</Properties>
</file>