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ziquan/Desktop/database_of_AP/"/>
    </mc:Choice>
  </mc:AlternateContent>
  <xr:revisionPtr revIDLastSave="0" documentId="13_ncr:1_{817D32DF-B599-A948-89A6-C4A8D39A43D5}" xr6:coauthVersionLast="47" xr6:coauthVersionMax="47" xr10:uidLastSave="{00000000-0000-0000-0000-000000000000}"/>
  <bookViews>
    <workbookView xWindow="160" yWindow="760" windowWidth="29560" windowHeight="18880" xr2:uid="{698F1B5D-DE28-3945-8A81-C0D89D9153BB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2" i="1"/>
  <c r="A148" i="4"/>
  <c r="B148" i="4" s="1"/>
  <c r="A147" i="4"/>
  <c r="B147" i="4" s="1"/>
  <c r="J142" i="4"/>
  <c r="J141" i="4"/>
  <c r="J140" i="4"/>
  <c r="J139" i="4"/>
  <c r="J138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A101" i="4"/>
  <c r="A100" i="4"/>
  <c r="A99" i="4"/>
  <c r="A98" i="4"/>
  <c r="A97" i="4"/>
  <c r="A96" i="4"/>
  <c r="A95" i="4"/>
  <c r="A94" i="4"/>
  <c r="K89" i="4"/>
  <c r="K88" i="4"/>
  <c r="K87" i="4"/>
  <c r="F72" i="4"/>
  <c r="C60" i="4"/>
  <c r="C59" i="4"/>
  <c r="C58" i="4"/>
  <c r="C57" i="4"/>
  <c r="C56" i="4"/>
  <c r="C55" i="4"/>
  <c r="A17" i="4"/>
  <c r="A14" i="4"/>
  <c r="A13" i="4"/>
  <c r="A12" i="4"/>
  <c r="A11" i="4"/>
  <c r="A10" i="4"/>
  <c r="A9" i="4"/>
  <c r="F4" i="1"/>
  <c r="F5" i="1"/>
  <c r="F6" i="1"/>
  <c r="F7" i="1"/>
  <c r="F16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67" i="1"/>
  <c r="F68" i="1"/>
  <c r="F69" i="1"/>
  <c r="F70" i="1"/>
  <c r="F71" i="1"/>
  <c r="F76" i="1"/>
  <c r="F77" i="1"/>
  <c r="F78" i="1"/>
  <c r="F79" i="1"/>
  <c r="F80" i="1"/>
  <c r="F81" i="1"/>
  <c r="F90" i="1"/>
  <c r="F91" i="1"/>
  <c r="F92" i="1"/>
  <c r="F93" i="1"/>
  <c r="F133" i="1"/>
  <c r="F134" i="1"/>
  <c r="F135" i="1"/>
  <c r="F136" i="1"/>
  <c r="F137" i="1"/>
  <c r="F143" i="1"/>
  <c r="F144" i="1"/>
  <c r="F145" i="1"/>
  <c r="F146" i="1"/>
  <c r="F154" i="1"/>
  <c r="F155" i="1"/>
  <c r="F156" i="1"/>
  <c r="F157" i="1"/>
  <c r="G3" i="1"/>
  <c r="G4" i="1"/>
  <c r="G5" i="1"/>
  <c r="G6" i="1"/>
  <c r="G7" i="1"/>
  <c r="G8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61" i="1"/>
  <c r="G62" i="1"/>
  <c r="G63" i="1"/>
  <c r="G64" i="1"/>
  <c r="G65" i="1"/>
  <c r="G66" i="1"/>
  <c r="G67" i="1"/>
  <c r="G68" i="1"/>
  <c r="G69" i="1"/>
  <c r="G70" i="1"/>
  <c r="G71" i="1"/>
  <c r="G76" i="1"/>
  <c r="G77" i="1"/>
  <c r="G78" i="1"/>
  <c r="G79" i="1"/>
  <c r="G80" i="1"/>
  <c r="G81" i="1"/>
  <c r="G82" i="1"/>
  <c r="G83" i="1"/>
  <c r="G84" i="1"/>
  <c r="G85" i="1"/>
  <c r="G86" i="1"/>
  <c r="G90" i="1"/>
  <c r="G91" i="1"/>
  <c r="G92" i="1"/>
  <c r="G93" i="1"/>
  <c r="G133" i="1"/>
  <c r="G134" i="1"/>
  <c r="G135" i="1"/>
  <c r="G136" i="1"/>
  <c r="G137" i="1"/>
  <c r="G143" i="1"/>
  <c r="G144" i="1"/>
  <c r="G145" i="1"/>
  <c r="G146" i="1"/>
  <c r="G149" i="1"/>
  <c r="G150" i="1"/>
  <c r="G151" i="1"/>
  <c r="G152" i="1"/>
  <c r="G153" i="1"/>
  <c r="G154" i="1"/>
  <c r="G155" i="1"/>
  <c r="G156" i="1"/>
  <c r="G157" i="1"/>
  <c r="G2" i="1"/>
  <c r="F3" i="1"/>
  <c r="K155" i="1" l="1"/>
  <c r="K156" i="1"/>
  <c r="K157" i="1"/>
  <c r="K154" i="1"/>
  <c r="S153" i="1"/>
  <c r="S152" i="1"/>
  <c r="S151" i="1"/>
  <c r="S150" i="1"/>
  <c r="S149" i="1"/>
  <c r="J150" i="1"/>
  <c r="J151" i="1"/>
  <c r="J152" i="1"/>
  <c r="J153" i="1"/>
  <c r="J149" i="1"/>
  <c r="C150" i="1"/>
  <c r="C151" i="1"/>
  <c r="C152" i="1"/>
  <c r="C153" i="1"/>
  <c r="C149" i="1"/>
  <c r="A150" i="1"/>
  <c r="A151" i="1"/>
  <c r="A152" i="1"/>
  <c r="A153" i="1"/>
  <c r="A149" i="1"/>
  <c r="S148" i="1"/>
  <c r="S147" i="1"/>
  <c r="K148" i="1"/>
  <c r="K147" i="1"/>
  <c r="S146" i="1"/>
  <c r="S145" i="1"/>
  <c r="S144" i="1"/>
  <c r="S143" i="1"/>
  <c r="K146" i="1"/>
  <c r="K145" i="1"/>
  <c r="K144" i="1"/>
  <c r="K143" i="1"/>
  <c r="S142" i="1"/>
  <c r="S141" i="1"/>
  <c r="S140" i="1"/>
  <c r="S139" i="1"/>
  <c r="S138" i="1"/>
  <c r="K142" i="1"/>
  <c r="K141" i="1"/>
  <c r="K140" i="1"/>
  <c r="K139" i="1"/>
  <c r="K138" i="1"/>
  <c r="G142" i="1"/>
  <c r="G141" i="1"/>
  <c r="G140" i="1"/>
  <c r="G139" i="1"/>
  <c r="S72" i="1"/>
  <c r="S73" i="1"/>
  <c r="S74" i="1"/>
  <c r="S75" i="1"/>
  <c r="S86" i="1"/>
  <c r="S85" i="1"/>
  <c r="S84" i="1"/>
  <c r="S83" i="1"/>
  <c r="S82" i="1"/>
  <c r="S137" i="1"/>
  <c r="S136" i="1"/>
  <c r="S135" i="1"/>
  <c r="S134" i="1"/>
  <c r="S133" i="1"/>
  <c r="K134" i="1"/>
  <c r="K135" i="1"/>
  <c r="K136" i="1"/>
  <c r="K137" i="1"/>
  <c r="K133" i="1"/>
  <c r="S56" i="1"/>
  <c r="S57" i="1"/>
  <c r="S58" i="1"/>
  <c r="S59" i="1"/>
  <c r="S60" i="1"/>
  <c r="S55" i="1"/>
  <c r="J26" i="1"/>
  <c r="J22" i="1"/>
  <c r="J23" i="1"/>
  <c r="J24" i="1"/>
  <c r="J25" i="1"/>
  <c r="J21" i="1"/>
  <c r="H21" i="1"/>
  <c r="H23" i="1"/>
  <c r="H24" i="1"/>
  <c r="H25" i="1"/>
  <c r="H26" i="1"/>
  <c r="H22" i="1"/>
  <c r="A17" i="1"/>
  <c r="J128" i="1"/>
  <c r="J122" i="1"/>
  <c r="J123" i="1"/>
  <c r="J124" i="1"/>
  <c r="J125" i="1"/>
  <c r="J126" i="1"/>
  <c r="J127" i="1"/>
  <c r="J129" i="1"/>
  <c r="J130" i="1"/>
  <c r="J131" i="1"/>
  <c r="J13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02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05" i="1"/>
  <c r="S104" i="1"/>
  <c r="S103" i="1"/>
  <c r="S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2" i="1"/>
  <c r="G103" i="1"/>
  <c r="B122" i="1"/>
  <c r="B123" i="1"/>
  <c r="B124" i="1"/>
  <c r="B125" i="1"/>
  <c r="B126" i="1"/>
  <c r="B127" i="1"/>
  <c r="B128" i="1"/>
  <c r="B129" i="1"/>
  <c r="B130" i="1"/>
  <c r="B131" i="1"/>
  <c r="B132" i="1"/>
  <c r="B117" i="1"/>
  <c r="B118" i="1"/>
  <c r="B119" i="1"/>
  <c r="B120" i="1"/>
  <c r="B121" i="1"/>
  <c r="B109" i="1"/>
  <c r="B110" i="1"/>
  <c r="B111" i="1"/>
  <c r="B112" i="1"/>
  <c r="B113" i="1"/>
  <c r="B114" i="1"/>
  <c r="B115" i="1"/>
  <c r="B116" i="1"/>
  <c r="K6" i="1"/>
  <c r="K7" i="1"/>
  <c r="K8" i="1"/>
  <c r="K3" i="1"/>
  <c r="K4" i="1"/>
  <c r="K5" i="1"/>
  <c r="K2" i="1"/>
  <c r="K19" i="1"/>
  <c r="K20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9" i="1"/>
  <c r="K10" i="1"/>
  <c r="K11" i="1"/>
  <c r="K12" i="1"/>
  <c r="K13" i="1"/>
  <c r="K14" i="1"/>
  <c r="K15" i="1"/>
  <c r="K16" i="1"/>
  <c r="K17" i="1"/>
  <c r="K18" i="1"/>
  <c r="S95" i="1"/>
  <c r="S96" i="1"/>
  <c r="S97" i="1"/>
  <c r="S98" i="1"/>
  <c r="S99" i="1"/>
  <c r="S100" i="1"/>
  <c r="S101" i="1"/>
  <c r="S94" i="1"/>
  <c r="A101" i="1"/>
  <c r="A100" i="1"/>
  <c r="A99" i="1"/>
  <c r="A98" i="1"/>
  <c r="A97" i="1"/>
  <c r="A96" i="1"/>
  <c r="A95" i="1"/>
  <c r="A94" i="1"/>
  <c r="G101" i="1"/>
  <c r="G100" i="1"/>
  <c r="G99" i="1"/>
  <c r="G98" i="1"/>
  <c r="G97" i="1"/>
  <c r="G96" i="1"/>
  <c r="G95" i="1"/>
  <c r="G94" i="1"/>
  <c r="S91" i="1"/>
  <c r="S92" i="1"/>
  <c r="S93" i="1"/>
  <c r="S90" i="1"/>
  <c r="B87" i="1"/>
  <c r="G89" i="1"/>
  <c r="G87" i="1"/>
  <c r="G88" i="1"/>
  <c r="A87" i="1"/>
  <c r="A89" i="1"/>
  <c r="A88" i="1"/>
  <c r="H87" i="1"/>
  <c r="H73" i="1"/>
  <c r="H74" i="1"/>
  <c r="H75" i="1"/>
  <c r="H76" i="1"/>
  <c r="H77" i="1"/>
  <c r="H78" i="1"/>
  <c r="H79" i="1"/>
  <c r="H80" i="1"/>
  <c r="H81" i="1"/>
  <c r="H72" i="1"/>
  <c r="H56" i="1"/>
  <c r="H57" i="1"/>
  <c r="H58" i="1"/>
  <c r="H59" i="1"/>
  <c r="H60" i="1"/>
  <c r="H55" i="1"/>
  <c r="H19" i="1"/>
  <c r="H20" i="1"/>
  <c r="H16" i="1"/>
  <c r="H8" i="1"/>
  <c r="H7" i="1"/>
  <c r="G10" i="1"/>
  <c r="G11" i="1"/>
  <c r="G12" i="1"/>
  <c r="G13" i="1"/>
  <c r="G14" i="1"/>
  <c r="G9" i="1"/>
  <c r="B10" i="1"/>
  <c r="B11" i="1"/>
  <c r="B12" i="1"/>
  <c r="B13" i="1"/>
  <c r="B14" i="1"/>
  <c r="B9" i="1"/>
  <c r="B83" i="1"/>
  <c r="B84" i="1"/>
  <c r="B85" i="1"/>
  <c r="B86" i="1"/>
  <c r="B82" i="1"/>
  <c r="S77" i="1"/>
  <c r="S78" i="1"/>
  <c r="S79" i="1"/>
  <c r="S80" i="1"/>
  <c r="S81" i="1"/>
  <c r="S76" i="1"/>
  <c r="D75" i="1"/>
  <c r="F75" i="4" s="1"/>
  <c r="D74" i="1"/>
  <c r="F74" i="4" s="1"/>
  <c r="D73" i="1"/>
  <c r="F73" i="4" s="1"/>
  <c r="S71" i="1"/>
  <c r="H18" i="1"/>
  <c r="B103" i="1"/>
  <c r="B104" i="1"/>
  <c r="B105" i="1"/>
  <c r="B106" i="1"/>
  <c r="B107" i="1"/>
  <c r="B108" i="1"/>
  <c r="B102" i="1"/>
  <c r="S42" i="1"/>
  <c r="C56" i="1"/>
  <c r="C57" i="1"/>
  <c r="C58" i="1"/>
  <c r="C59" i="1"/>
  <c r="C60" i="1"/>
  <c r="C55" i="1"/>
  <c r="G56" i="1"/>
  <c r="G57" i="1"/>
  <c r="G58" i="1"/>
  <c r="G59" i="1"/>
  <c r="G60" i="1"/>
  <c r="G55" i="1"/>
  <c r="B62" i="1"/>
  <c r="B63" i="1"/>
  <c r="B64" i="1"/>
  <c r="B65" i="1"/>
  <c r="B66" i="1"/>
  <c r="B61" i="1"/>
  <c r="S54" i="1"/>
  <c r="G17" i="1"/>
  <c r="B18" i="1"/>
  <c r="B17" i="1"/>
  <c r="B15" i="1"/>
  <c r="A18" i="1"/>
  <c r="A15" i="1"/>
  <c r="L54" i="1"/>
  <c r="L53" i="1"/>
  <c r="L52" i="1"/>
  <c r="L51" i="1"/>
  <c r="L50" i="1"/>
  <c r="L49" i="1"/>
  <c r="L48" i="1"/>
  <c r="L47" i="1"/>
  <c r="L46" i="1"/>
  <c r="L45" i="1"/>
  <c r="S43" i="1"/>
  <c r="S44" i="1"/>
  <c r="U32" i="1"/>
  <c r="U33" i="1"/>
  <c r="U34" i="1"/>
  <c r="U35" i="1"/>
  <c r="U36" i="1"/>
  <c r="U38" i="1"/>
  <c r="U39" i="1"/>
  <c r="U40" i="1"/>
  <c r="U41" i="1"/>
  <c r="U31" i="1"/>
  <c r="U3" i="1"/>
  <c r="U4" i="1"/>
  <c r="U5" i="1"/>
  <c r="U2" i="1"/>
  <c r="U16" i="1"/>
  <c r="U15" i="1"/>
  <c r="U8" i="1"/>
  <c r="U7" i="1"/>
  <c r="F15" i="1" l="1"/>
  <c r="F60" i="1"/>
  <c r="F88" i="1"/>
  <c r="F59" i="1"/>
  <c r="F56" i="1"/>
  <c r="F18" i="1"/>
  <c r="F55" i="1"/>
  <c r="F95" i="1"/>
  <c r="F17" i="1"/>
  <c r="F96" i="1"/>
  <c r="F99" i="1"/>
  <c r="H103" i="1"/>
  <c r="F103" i="1"/>
  <c r="H84" i="1"/>
  <c r="F84" i="1"/>
  <c r="H109" i="1"/>
  <c r="F109" i="1"/>
  <c r="H121" i="1"/>
  <c r="F121" i="1"/>
  <c r="H64" i="1"/>
  <c r="F64" i="1"/>
  <c r="H102" i="1"/>
  <c r="F102" i="1"/>
  <c r="F9" i="1"/>
  <c r="F97" i="1"/>
  <c r="H115" i="1"/>
  <c r="F115" i="1"/>
  <c r="H120" i="1"/>
  <c r="F120" i="1"/>
  <c r="H130" i="1"/>
  <c r="F130" i="1"/>
  <c r="H122" i="1"/>
  <c r="F122" i="1"/>
  <c r="H116" i="1"/>
  <c r="F116" i="1"/>
  <c r="H123" i="1"/>
  <c r="F123" i="1"/>
  <c r="G73" i="1"/>
  <c r="F98" i="1"/>
  <c r="H114" i="1"/>
  <c r="F114" i="1"/>
  <c r="H119" i="1"/>
  <c r="F119" i="1"/>
  <c r="H129" i="1"/>
  <c r="F129" i="1"/>
  <c r="F149" i="1"/>
  <c r="H66" i="1"/>
  <c r="F66" i="1"/>
  <c r="H132" i="1"/>
  <c r="F132" i="1"/>
  <c r="H124" i="1"/>
  <c r="F124" i="1"/>
  <c r="H131" i="1"/>
  <c r="F131" i="1"/>
  <c r="H113" i="1"/>
  <c r="F113" i="1"/>
  <c r="H118" i="1"/>
  <c r="F118" i="1"/>
  <c r="F153" i="1"/>
  <c r="H83" i="1"/>
  <c r="F83" i="1"/>
  <c r="H63" i="1"/>
  <c r="F63" i="1"/>
  <c r="F14" i="1"/>
  <c r="H107" i="1"/>
  <c r="F107" i="1"/>
  <c r="H128" i="1"/>
  <c r="F128" i="1"/>
  <c r="H106" i="1"/>
  <c r="F106" i="1"/>
  <c r="G75" i="1"/>
  <c r="H82" i="1"/>
  <c r="F82" i="1"/>
  <c r="F12" i="1"/>
  <c r="F89" i="1"/>
  <c r="F100" i="1"/>
  <c r="H112" i="1"/>
  <c r="F112" i="1"/>
  <c r="H117" i="1"/>
  <c r="F117" i="1"/>
  <c r="H127" i="1"/>
  <c r="F127" i="1"/>
  <c r="F152" i="1"/>
  <c r="H65" i="1"/>
  <c r="F65" i="1"/>
  <c r="F148" i="1"/>
  <c r="G148" i="1"/>
  <c r="H108" i="1"/>
  <c r="F108" i="1"/>
  <c r="H62" i="1"/>
  <c r="F62" i="1"/>
  <c r="G74" i="1"/>
  <c r="F13" i="1"/>
  <c r="F58" i="1"/>
  <c r="H105" i="1"/>
  <c r="F105" i="1"/>
  <c r="G72" i="1"/>
  <c r="F72" i="1"/>
  <c r="H86" i="1"/>
  <c r="F86" i="1"/>
  <c r="F11" i="1"/>
  <c r="F87" i="1"/>
  <c r="F101" i="1"/>
  <c r="H111" i="1"/>
  <c r="F111" i="1"/>
  <c r="H126" i="1"/>
  <c r="F126" i="1"/>
  <c r="F151" i="1"/>
  <c r="H61" i="1"/>
  <c r="F61" i="1"/>
  <c r="F57" i="1"/>
  <c r="H104" i="1"/>
  <c r="F104" i="1"/>
  <c r="H85" i="1"/>
  <c r="F85" i="1"/>
  <c r="F10" i="1"/>
  <c r="F94" i="1"/>
  <c r="H110" i="1"/>
  <c r="F110" i="1"/>
  <c r="H125" i="1"/>
  <c r="F125" i="1"/>
  <c r="B138" i="1"/>
  <c r="F138" i="1" s="1"/>
  <c r="G138" i="1"/>
  <c r="F147" i="1"/>
  <c r="G147" i="1"/>
  <c r="F150" i="1"/>
  <c r="B142" i="1"/>
  <c r="F142" i="1" s="1"/>
  <c r="B141" i="1"/>
  <c r="F141" i="1" s="1"/>
  <c r="B140" i="1"/>
  <c r="F140" i="1" s="1"/>
  <c r="B139" i="1"/>
  <c r="F139" i="1" s="1"/>
  <c r="H13" i="1"/>
  <c r="H14" i="1"/>
  <c r="H9" i="1"/>
  <c r="H17" i="1"/>
  <c r="H12" i="1"/>
  <c r="H15" i="1"/>
  <c r="H11" i="1"/>
  <c r="H10" i="1"/>
  <c r="F74" i="1" l="1"/>
  <c r="F73" i="1"/>
  <c r="F75" i="1"/>
</calcChain>
</file>

<file path=xl/sharedStrings.xml><?xml version="1.0" encoding="utf-8"?>
<sst xmlns="http://schemas.openxmlformats.org/spreadsheetml/2006/main" count="65" uniqueCount="64">
  <si>
    <t>https://doi.org/10.1016/S0167-2738(98)00070-8</t>
    <phoneticPr fontId="1" type="noConversion"/>
  </si>
  <si>
    <t>https://doi.org/10.1007/s10853-020-05342-7</t>
    <phoneticPr fontId="1" type="noConversion"/>
  </si>
  <si>
    <t>Bulk conductivity</t>
    <phoneticPr fontId="1" type="noConversion"/>
  </si>
  <si>
    <t>https://doi.org10.1016/j.ceramint.2019.11.277</t>
    <phoneticPr fontId="1" type="noConversion"/>
  </si>
  <si>
    <t>https://doi.org/10.1007/BF02375549</t>
    <phoneticPr fontId="1" type="noConversion"/>
  </si>
  <si>
    <t>Reference</t>
    <phoneticPr fontId="1" type="noConversion"/>
  </si>
  <si>
    <t>https://doi-org.libproxy.ucl.ac.uk/10.1039/C8NJ01113C</t>
  </si>
  <si>
    <t xml:space="preserve">Lattice Volume </t>
    <phoneticPr fontId="1" type="noConversion"/>
  </si>
  <si>
    <t>Lattice parameter (a)</t>
    <phoneticPr fontId="1" type="noConversion"/>
  </si>
  <si>
    <t>Lattice parameter (c)</t>
    <phoneticPr fontId="1" type="noConversion"/>
  </si>
  <si>
    <t>Temperature</t>
    <phoneticPr fontId="1" type="noConversion"/>
  </si>
  <si>
    <t>Li</t>
    <phoneticPr fontId="1" type="noConversion"/>
  </si>
  <si>
    <t>La</t>
    <phoneticPr fontId="1" type="noConversion"/>
  </si>
  <si>
    <t>Ti</t>
    <phoneticPr fontId="1" type="noConversion"/>
  </si>
  <si>
    <t>O</t>
    <phoneticPr fontId="1" type="noConversion"/>
  </si>
  <si>
    <t>Sr</t>
    <phoneticPr fontId="1" type="noConversion"/>
  </si>
  <si>
    <t>Al</t>
    <phoneticPr fontId="1" type="noConversion"/>
  </si>
  <si>
    <t>Co</t>
    <phoneticPr fontId="1" type="noConversion"/>
  </si>
  <si>
    <t>In</t>
    <phoneticPr fontId="1" type="noConversion"/>
  </si>
  <si>
    <t>Vacancy</t>
    <phoneticPr fontId="1" type="noConversion"/>
  </si>
  <si>
    <t>F</t>
    <phoneticPr fontId="1" type="noConversion"/>
  </si>
  <si>
    <t>activation energy(bulk)</t>
    <phoneticPr fontId="1" type="noConversion"/>
  </si>
  <si>
    <t>Na</t>
    <phoneticPr fontId="1" type="noConversion"/>
  </si>
  <si>
    <t>V</t>
    <phoneticPr fontId="1" type="noConversion"/>
  </si>
  <si>
    <t>Nb</t>
    <phoneticPr fontId="1" type="noConversion"/>
  </si>
  <si>
    <t>Nd</t>
    <phoneticPr fontId="1" type="noConversion"/>
  </si>
  <si>
    <t>New La2/3-xSrxLixTiO3Solid Solution:  Structure,Microstructure, and Li+Conductivity</t>
    <phoneticPr fontId="1" type="noConversion"/>
  </si>
  <si>
    <t>Ag</t>
    <phoneticPr fontId="1" type="noConversion"/>
  </si>
  <si>
    <t>Ta</t>
    <phoneticPr fontId="1" type="noConversion"/>
  </si>
  <si>
    <t>log(bulk)</t>
    <phoneticPr fontId="1" type="noConversion"/>
  </si>
  <si>
    <t>radius A site</t>
    <phoneticPr fontId="1" type="noConversion"/>
  </si>
  <si>
    <t>radius B site</t>
    <phoneticPr fontId="1" type="noConversion"/>
  </si>
  <si>
    <t>Doping Content</t>
    <phoneticPr fontId="1" type="noConversion"/>
  </si>
  <si>
    <t>Hf</t>
    <phoneticPr fontId="1" type="noConversion"/>
  </si>
  <si>
    <t>Zr</t>
    <phoneticPr fontId="1" type="noConversion"/>
  </si>
  <si>
    <t>Ca</t>
    <phoneticPr fontId="1" type="noConversion"/>
  </si>
  <si>
    <t>Doping elements</t>
    <phoneticPr fontId="1" type="noConversion"/>
  </si>
  <si>
    <t>MW</t>
    <phoneticPr fontId="1" type="noConversion"/>
  </si>
  <si>
    <t>Mg</t>
    <phoneticPr fontId="1" type="noConversion"/>
  </si>
  <si>
    <t>Mn</t>
    <phoneticPr fontId="1" type="noConversion"/>
  </si>
  <si>
    <t>Ge</t>
    <phoneticPr fontId="1" type="noConversion"/>
  </si>
  <si>
    <t>Ru</t>
    <phoneticPr fontId="1" type="noConversion"/>
  </si>
  <si>
    <t>W</t>
    <phoneticPr fontId="1" type="noConversion"/>
  </si>
  <si>
    <t>negative A</t>
    <phoneticPr fontId="1" type="noConversion"/>
  </si>
  <si>
    <t>negative B</t>
    <phoneticPr fontId="1" type="noConversion"/>
  </si>
  <si>
    <t>Z_A</t>
    <phoneticPr fontId="1" type="noConversion"/>
  </si>
  <si>
    <t>Z_B</t>
    <phoneticPr fontId="1" type="noConversion"/>
  </si>
  <si>
    <t>https://doi.org/10.1016/j.ceramint.2019.08.012</t>
    <phoneticPr fontId="1" type="noConversion"/>
  </si>
  <si>
    <t>https://doi.org/10.1016/j.ssi.2019.03.015</t>
    <phoneticPr fontId="1" type="noConversion"/>
  </si>
  <si>
    <t>https://doi.org/10.1016/j.materresbull.2020.111019</t>
    <phoneticPr fontId="1" type="noConversion"/>
  </si>
  <si>
    <t>https://doi.org/10.1016/0167-2738(94)90309-3</t>
    <phoneticPr fontId="1" type="noConversion"/>
  </si>
  <si>
    <t>https://doi.org/10.1039/C0JM04367B</t>
    <phoneticPr fontId="1" type="noConversion"/>
  </si>
  <si>
    <t>https://doi.org/10.1016/j.jallcom.2006.07.116</t>
  </si>
  <si>
    <t>https://doi.org/10.1016/j.jallcom.2021.163084</t>
  </si>
  <si>
    <t>https://doi.org/10.1016/S0378-7753(99)00105-6</t>
  </si>
  <si>
    <t>https://doi.org/10.1016/j.jallcom.2021.163084</t>
    <phoneticPr fontId="1" type="noConversion"/>
  </si>
  <si>
    <t>https://doi.org/10.1016/j.electacta.2017.07.110</t>
    <phoneticPr fontId="1" type="noConversion"/>
  </si>
  <si>
    <t>https://doi.org/10.1007/BF02378009</t>
    <phoneticPr fontId="1" type="noConversion"/>
  </si>
  <si>
    <t>https://doi.org/10.1016/j.ssi.2004.06.013</t>
    <phoneticPr fontId="1" type="noConversion"/>
  </si>
  <si>
    <t>https://doi.org/10.1021/cm001207u</t>
    <phoneticPr fontId="1" type="noConversion"/>
  </si>
  <si>
    <t>https://doi.org/10.1007/s12034-013-0551-3</t>
    <phoneticPr fontId="1" type="noConversion"/>
  </si>
  <si>
    <t>https://doi.org/10.1021/cm020609u</t>
    <phoneticPr fontId="1" type="noConversion"/>
  </si>
  <si>
    <t>https://doi.org/10.1021/cm011149s</t>
    <phoneticPr fontId="1" type="noConversion"/>
  </si>
  <si>
    <t>https://doi.org/10.1007/s11581-006-0011-9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</si>
</sst>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9"/>
      <color theme="1"/>
      <name val="URWPalladioL"/>
    </font>
    <font>
      <u/>
      <sz val="12"/>
      <color theme="10"/>
      <name val="等线"/>
      <family val="2"/>
      <charset val="134"/>
      <scheme val="minor"/>
    </font>
    <font>
      <sz val="28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11" fontId="5" fillId="0" borderId="0" xfId="1" applyNumberFormat="1">
      <alignment vertical="center"/>
    </xf>
    <xf numFmtId="11" fontId="4" fillId="0" borderId="0" xfId="0" applyNumberFormat="1" applyFont="1">
      <alignment vertical="center"/>
    </xf>
    <xf numFmtId="0" fontId="3" fillId="0" borderId="0" xfId="0" applyFont="1">
      <alignment vertical="center"/>
    </xf>
    <xf numFmtId="11" fontId="6" fillId="0" borderId="0" xfId="0" applyNumberFormat="1" applyFont="1" applyAlignment="1">
      <alignment horizontal="center" vertical="center"/>
    </xf>
    <xf numFmtId="0" fontId="5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2</xdr:col>
      <xdr:colOff>916385</xdr:colOff>
      <xdr:row>15</xdr:row>
      <xdr:rowOff>5420</xdr:rowOff>
    </xdr:to>
    <xdr:pic>
      <xdr:nvPicPr>
        <xdr:cNvPr id="2" name="图片 1" descr="page2image55909488">
          <a:extLst>
            <a:ext uri="{FF2B5EF4-FFF2-40B4-BE49-F238E27FC236}">
              <a16:creationId xmlns:a16="http://schemas.microsoft.com/office/drawing/2014/main" id="{359F79C2-85E9-F8DF-8E93-6834BA768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0"/>
          <a:ext cx="3187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21</xdr:col>
      <xdr:colOff>0</xdr:colOff>
      <xdr:row>27</xdr:row>
      <xdr:rowOff>75829</xdr:rowOff>
    </xdr:from>
    <xdr:ext cx="65" cy="172227"/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93E652F1-0F1E-E539-FBC3-8A7BE9C16A06}"/>
            </a:ext>
          </a:extLst>
        </xdr:cNvPr>
        <xdr:cNvSpPr txBox="1"/>
      </xdr:nvSpPr>
      <xdr:spPr>
        <a:xfrm>
          <a:off x="10601997" y="47664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materresbull.2020.111019" TargetMode="External"/><Relationship Id="rId13" Type="http://schemas.openxmlformats.org/officeDocument/2006/relationships/hyperlink" Target="https://doi.org/10.1016/j.ssi.2004.06.013" TargetMode="External"/><Relationship Id="rId18" Type="http://schemas.openxmlformats.org/officeDocument/2006/relationships/hyperlink" Target="https://doi.org/10.1016/j.electacta.2017.07.110" TargetMode="External"/><Relationship Id="rId3" Type="http://schemas.openxmlformats.org/officeDocument/2006/relationships/hyperlink" Target="https://doi.org10.1016/j.ceramint.2019.11.277" TargetMode="External"/><Relationship Id="rId21" Type="http://schemas.openxmlformats.org/officeDocument/2006/relationships/hyperlink" Target="https://doi.org/10.1021/cm020609u" TargetMode="External"/><Relationship Id="rId7" Type="http://schemas.openxmlformats.org/officeDocument/2006/relationships/hyperlink" Target="https://doi.org/10.1016/j.ssi.2019.03.015" TargetMode="External"/><Relationship Id="rId12" Type="http://schemas.openxmlformats.org/officeDocument/2006/relationships/hyperlink" Target="https://doi.org/10.1016/j.jallcom.2006.07.116" TargetMode="External"/><Relationship Id="rId17" Type="http://schemas.openxmlformats.org/officeDocument/2006/relationships/hyperlink" Target="https://doi.org/10.1016/j.jallcom.2021.163084" TargetMode="External"/><Relationship Id="rId2" Type="http://schemas.openxmlformats.org/officeDocument/2006/relationships/hyperlink" Target="https://doi.org/10.1007/s10853-020-05342-7" TargetMode="External"/><Relationship Id="rId16" Type="http://schemas.openxmlformats.org/officeDocument/2006/relationships/hyperlink" Target="https://doi.org/10.1016/S0378-7753(99)00105-6" TargetMode="External"/><Relationship Id="rId20" Type="http://schemas.openxmlformats.org/officeDocument/2006/relationships/hyperlink" Target="https://doi.org/10.1007/s12034-013-0551-3" TargetMode="External"/><Relationship Id="rId1" Type="http://schemas.openxmlformats.org/officeDocument/2006/relationships/hyperlink" Target="https://doi.org/10.1016/S0167-2738(98)00070-8" TargetMode="External"/><Relationship Id="rId6" Type="http://schemas.openxmlformats.org/officeDocument/2006/relationships/hyperlink" Target="https://doi.org/10.1016/j.ceramint.2019.08.012" TargetMode="External"/><Relationship Id="rId11" Type="http://schemas.openxmlformats.org/officeDocument/2006/relationships/hyperlink" Target="https://doi.org/10.1039/C0JM04367B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doi-org.libproxy.ucl.ac.uk/10.1039/C8NJ01113C" TargetMode="External"/><Relationship Id="rId15" Type="http://schemas.openxmlformats.org/officeDocument/2006/relationships/hyperlink" Target="https://doi.org/10.1016/j.jallcom.2021.163084" TargetMode="External"/><Relationship Id="rId23" Type="http://schemas.openxmlformats.org/officeDocument/2006/relationships/hyperlink" Target="https://doi.org/10.1007/s11581-006-0011-9" TargetMode="External"/><Relationship Id="rId10" Type="http://schemas.openxmlformats.org/officeDocument/2006/relationships/hyperlink" Target="https://doi.org/10.1039/C0JM04367B" TargetMode="External"/><Relationship Id="rId19" Type="http://schemas.openxmlformats.org/officeDocument/2006/relationships/hyperlink" Target="https://doi.org/10.1021/cm001207u" TargetMode="External"/><Relationship Id="rId4" Type="http://schemas.openxmlformats.org/officeDocument/2006/relationships/hyperlink" Target="https://doi.org/10.1007/BF02375549" TargetMode="External"/><Relationship Id="rId9" Type="http://schemas.openxmlformats.org/officeDocument/2006/relationships/hyperlink" Target="https://doi.org/10.1016/0167-2738(94)90309-3" TargetMode="External"/><Relationship Id="rId14" Type="http://schemas.openxmlformats.org/officeDocument/2006/relationships/hyperlink" Target="https://doi.org/10.1007/BF02378009" TargetMode="External"/><Relationship Id="rId22" Type="http://schemas.openxmlformats.org/officeDocument/2006/relationships/hyperlink" Target="https://doi.org/10.1021/cm011149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11A-5F2D-6945-AE4A-6058DFE907D7}">
  <dimension ref="A1:AA157"/>
  <sheetViews>
    <sheetView tabSelected="1" zoomScale="84" zoomScaleNormal="84" workbookViewId="0">
      <pane xSplit="1" topLeftCell="P1" activePane="topRight" state="frozen"/>
      <selection pane="topRight" activeCell="V39" sqref="V39"/>
    </sheetView>
  </sheetViews>
  <sheetFormatPr baseColWidth="10" defaultRowHeight="16"/>
  <cols>
    <col min="1" max="1" width="15" style="1" customWidth="1"/>
    <col min="2" max="2" width="14.6640625" style="1" customWidth="1"/>
    <col min="3" max="3" width="14.83203125" style="1" customWidth="1"/>
    <col min="4" max="4" width="13.83203125" style="1" customWidth="1"/>
    <col min="5" max="5" width="21.83203125" style="1" customWidth="1"/>
    <col min="6" max="6" width="19.33203125" style="1" customWidth="1"/>
    <col min="7" max="8" width="14.83203125" style="1" customWidth="1"/>
    <col min="9" max="9" width="15.5" style="1" customWidth="1"/>
    <col min="10" max="10" width="16.83203125" style="2" customWidth="1"/>
    <col min="11" max="11" width="16.83203125" style="1" customWidth="1"/>
    <col min="12" max="14" width="24.1640625" style="1" customWidth="1"/>
    <col min="15" max="18" width="22.6640625" style="1" customWidth="1"/>
    <col min="19" max="19" width="22.83203125" style="1" customWidth="1"/>
    <col min="20" max="20" width="17.6640625" style="1" customWidth="1"/>
    <col min="21" max="21" width="17.83203125" style="1" customWidth="1"/>
    <col min="22" max="22" width="92.33203125" style="1" customWidth="1"/>
    <col min="23" max="16384" width="10.83203125" style="1"/>
  </cols>
  <sheetData>
    <row r="1" spans="1:27">
      <c r="A1" s="1" t="s">
        <v>11</v>
      </c>
      <c r="B1" s="1" t="s">
        <v>12</v>
      </c>
      <c r="C1" s="1" t="s">
        <v>13</v>
      </c>
      <c r="D1" s="1" t="s">
        <v>14</v>
      </c>
      <c r="E1" s="1" t="s">
        <v>36</v>
      </c>
      <c r="F1" s="1" t="s">
        <v>37</v>
      </c>
      <c r="G1" s="1" t="s">
        <v>32</v>
      </c>
      <c r="H1" s="1" t="s">
        <v>19</v>
      </c>
      <c r="I1" s="1" t="s">
        <v>10</v>
      </c>
      <c r="J1" s="2" t="s">
        <v>2</v>
      </c>
      <c r="K1" s="1" t="s">
        <v>29</v>
      </c>
      <c r="L1" s="2" t="s">
        <v>21</v>
      </c>
      <c r="M1" s="2" t="s">
        <v>45</v>
      </c>
      <c r="N1" s="2" t="s">
        <v>43</v>
      </c>
      <c r="O1" s="1" t="s">
        <v>30</v>
      </c>
      <c r="P1" s="1" t="s">
        <v>46</v>
      </c>
      <c r="Q1" s="1" t="s">
        <v>44</v>
      </c>
      <c r="R1" s="1" t="s">
        <v>31</v>
      </c>
      <c r="S1" s="1" t="s">
        <v>7</v>
      </c>
      <c r="T1" s="1" t="s">
        <v>8</v>
      </c>
      <c r="U1" s="1" t="s">
        <v>9</v>
      </c>
      <c r="V1" s="2" t="s">
        <v>5</v>
      </c>
      <c r="W1" s="2"/>
      <c r="X1" s="2"/>
      <c r="Y1" s="2"/>
      <c r="Z1" s="2"/>
      <c r="AA1" s="2"/>
    </row>
    <row r="2" spans="1:27">
      <c r="A2" s="1">
        <v>0.35</v>
      </c>
      <c r="B2" s="1">
        <v>0.35</v>
      </c>
      <c r="C2" s="1">
        <v>1</v>
      </c>
      <c r="D2" s="1">
        <v>3</v>
      </c>
      <c r="E2" s="1">
        <v>1</v>
      </c>
      <c r="F2" s="1">
        <f>A2*6.941+B2*138.91+C2*47.867+D2*16+Sheet4!A2*87.62+Sheet4!B2*40.078+Sheet4!C2*26.982+Sheet4!D2*114.82+Sheet4!E2*58.993+Sheet4!F2*19+Sheet4!G2*23+Sheet4!H2*50.942+Sheet4!I2*92.906+Sheet4!J2*144.24+Sheet4!K2*107.87+Sheet4!L2*180.95+Sheet4!M2*91.224+Sheet4!N2*178.49+Sheet4!O2*24.305+Sheet4!P2*54.938+Sheet4!Q2*72.64+Sheet4!R2*101.07+Sheet4!S2*183.84</f>
        <v>173.20085</v>
      </c>
      <c r="G2" s="1">
        <f>Sheet4!A2+Sheet4!C2+Sheet4!D2+Sheet4!E2+Sheet4!F2+Sheet4!G2+Sheet4!H2+Sheet4!I2+Sheet4!J2+Sheet4!K2+Sheet4!L2+Sheet4!M2+Sheet4!N2+Sheet4!O2+Sheet4!P2+Sheet4!Q2+Sheet4!R2+Sheet4!S2</f>
        <v>0.3</v>
      </c>
      <c r="H2" s="1">
        <v>0</v>
      </c>
      <c r="I2" s="1">
        <v>298</v>
      </c>
      <c r="J2" s="2">
        <v>2.7800000000000001E-5</v>
      </c>
      <c r="K2" s="1">
        <f t="shared" ref="K2:K8" si="0">LOG10(J2)</f>
        <v>-4.5559552040819238</v>
      </c>
      <c r="L2" s="1">
        <v>0.3</v>
      </c>
      <c r="M2" s="1">
        <v>38</v>
      </c>
      <c r="N2" s="1">
        <v>0.95</v>
      </c>
      <c r="O2" s="1">
        <v>1.44</v>
      </c>
      <c r="P2" s="1">
        <v>0</v>
      </c>
      <c r="Q2" s="1">
        <v>0</v>
      </c>
      <c r="R2" s="1">
        <v>0</v>
      </c>
      <c r="S2" s="1">
        <v>58.728900000000003</v>
      </c>
      <c r="T2" s="1">
        <v>3.887</v>
      </c>
      <c r="U2" s="1">
        <f>T2</f>
        <v>3.887</v>
      </c>
      <c r="V2" s="3" t="s">
        <v>47</v>
      </c>
      <c r="W2" s="2"/>
      <c r="X2" s="2"/>
      <c r="Y2" s="2"/>
      <c r="Z2" s="2"/>
      <c r="AA2" s="2"/>
    </row>
    <row r="3" spans="1:27">
      <c r="A3" s="1">
        <v>0.35499999999999998</v>
      </c>
      <c r="B3" s="1">
        <v>0.35</v>
      </c>
      <c r="C3" s="1">
        <v>0.995</v>
      </c>
      <c r="D3" s="1">
        <v>3</v>
      </c>
      <c r="E3" s="1">
        <v>2</v>
      </c>
      <c r="F3" s="1">
        <f>A3*6.941+B3*138.91+C3*47.867+D3*16+Sheet4!A3*87.62+Sheet4!B3*40.078+Sheet4!C3*26.982+Sheet4!D3*114.82+Sheet4!E3*58.993+Sheet4!F3*19+Sheet4!G3*23+Sheet4!H3*50.942+Sheet4!I3*92.906+Sheet4!J3*144.24+Sheet4!K3*107.87+Sheet4!L3*180.95+Sheet4!M3*91.224+Sheet4!N3*178.49</f>
        <v>173.13112999999998</v>
      </c>
      <c r="G3" s="1">
        <f>Sheet4!A3+Sheet4!C3+Sheet4!D3+Sheet4!E3+Sheet4!F3+Sheet4!G3+Sheet4!H3+Sheet4!I3+Sheet4!J3+Sheet4!K3+Sheet4!L3+Sheet4!M3+Sheet4!N3+Sheet4!O3+Sheet4!P3+Sheet4!Q3+Sheet4!R3+Sheet4!S3</f>
        <v>0.30499999999999999</v>
      </c>
      <c r="H3" s="1">
        <v>0</v>
      </c>
      <c r="I3" s="1">
        <v>298</v>
      </c>
      <c r="J3" s="2">
        <v>2.05E-5</v>
      </c>
      <c r="K3" s="1">
        <f t="shared" si="0"/>
        <v>-4.6882461389442458</v>
      </c>
      <c r="L3" s="1">
        <v>0.31</v>
      </c>
      <c r="M3" s="1">
        <v>38</v>
      </c>
      <c r="N3" s="1">
        <v>0.95</v>
      </c>
      <c r="O3" s="1">
        <v>1.44</v>
      </c>
      <c r="P3" s="1">
        <v>13</v>
      </c>
      <c r="Q3" s="1">
        <v>1.61</v>
      </c>
      <c r="R3" s="1">
        <v>0.53500000000000003</v>
      </c>
      <c r="S3" s="1">
        <v>58.7087</v>
      </c>
      <c r="T3" s="1">
        <v>3.8864999999999998</v>
      </c>
      <c r="U3" s="1">
        <f>T3</f>
        <v>3.8864999999999998</v>
      </c>
      <c r="V3" s="2"/>
      <c r="W3" s="2"/>
      <c r="X3" s="2"/>
      <c r="Y3" s="2"/>
      <c r="Z3" s="2"/>
      <c r="AA3" s="2"/>
    </row>
    <row r="4" spans="1:27">
      <c r="A4" s="1">
        <v>0.35499999999999998</v>
      </c>
      <c r="B4" s="1">
        <v>0.35</v>
      </c>
      <c r="C4" s="1">
        <v>0.995</v>
      </c>
      <c r="D4" s="1">
        <v>3</v>
      </c>
      <c r="E4" s="1">
        <v>2</v>
      </c>
      <c r="F4" s="1">
        <f>A4*6.941+B4*138.91+C4*47.867+D4*16+Sheet4!A4*87.62+Sheet4!B4*40.078+Sheet4!C4*26.982+Sheet4!D4*114.82+Sheet4!E4*58.993+Sheet4!F4*19+Sheet4!G4*23+Sheet4!H4*50.942+Sheet4!I4*92.906+Sheet4!J4*144.24+Sheet4!K4*107.87+Sheet4!L4*180.95+Sheet4!M4*91.224+Sheet4!N4*178.49</f>
        <v>173.29118499999998</v>
      </c>
      <c r="G4" s="1">
        <f>Sheet4!A4+Sheet4!C4+Sheet4!D4+Sheet4!E4+Sheet4!F4+Sheet4!G4+Sheet4!H4+Sheet4!I4+Sheet4!J4+Sheet4!K4+Sheet4!L4+Sheet4!M4+Sheet4!N4+Sheet4!O4+Sheet4!P4+Sheet4!Q4+Sheet4!R4+Sheet4!S4</f>
        <v>0.30499999999999999</v>
      </c>
      <c r="H4" s="1">
        <v>0</v>
      </c>
      <c r="I4" s="1">
        <v>298</v>
      </c>
      <c r="J4" s="2">
        <v>1.3699999999999999E-5</v>
      </c>
      <c r="K4" s="1">
        <f t="shared" si="0"/>
        <v>-4.8632794328435933</v>
      </c>
      <c r="L4" s="1">
        <v>0.32</v>
      </c>
      <c r="M4" s="1">
        <v>38</v>
      </c>
      <c r="N4" s="1">
        <v>0.95</v>
      </c>
      <c r="O4" s="1">
        <v>1.44</v>
      </c>
      <c r="P4" s="1">
        <v>27</v>
      </c>
      <c r="Q4" s="1">
        <v>1.88</v>
      </c>
      <c r="R4" s="1">
        <v>0.61</v>
      </c>
      <c r="S4" s="1">
        <v>58.774900000000002</v>
      </c>
      <c r="T4" s="1">
        <v>3.8879999999999999</v>
      </c>
      <c r="U4" s="1">
        <f>T4</f>
        <v>3.8879999999999999</v>
      </c>
      <c r="V4" s="2"/>
      <c r="W4" s="2"/>
      <c r="X4" s="2"/>
      <c r="Y4" s="2"/>
      <c r="Z4" s="2"/>
      <c r="AA4" s="2"/>
    </row>
    <row r="5" spans="1:27">
      <c r="A5" s="1">
        <v>0.35499999999999998</v>
      </c>
      <c r="B5" s="1">
        <v>0.35</v>
      </c>
      <c r="C5" s="1">
        <v>0.995</v>
      </c>
      <c r="D5" s="1">
        <v>3</v>
      </c>
      <c r="E5" s="1">
        <v>2</v>
      </c>
      <c r="F5" s="1">
        <f>A5*6.941+B5*138.91+C5*47.867+D5*16+Sheet4!A5*87.62+Sheet4!B5*40.078+Sheet4!C5*26.982+Sheet4!D5*114.82+Sheet4!E5*58.993+Sheet4!F5*19+Sheet4!G5*23+Sheet4!H5*50.942+Sheet4!I5*92.906+Sheet4!J5*144.24+Sheet4!K5*107.87+Sheet4!L5*180.95+Sheet4!M5*91.224+Sheet4!N5*178.49</f>
        <v>173.57031999999998</v>
      </c>
      <c r="G5" s="1">
        <f>Sheet4!A5+Sheet4!C5+Sheet4!D5+Sheet4!E5+Sheet4!F5+Sheet4!G5+Sheet4!H5+Sheet4!I5+Sheet4!J5+Sheet4!K5+Sheet4!L5+Sheet4!M5+Sheet4!N5+Sheet4!O5+Sheet4!P5+Sheet4!Q5+Sheet4!R5+Sheet4!S5</f>
        <v>0.30499999999999999</v>
      </c>
      <c r="H5" s="1">
        <v>0</v>
      </c>
      <c r="I5" s="1">
        <v>298</v>
      </c>
      <c r="J5" s="2">
        <v>1.9700000000000001E-5</v>
      </c>
      <c r="K5" s="1">
        <f t="shared" si="0"/>
        <v>-4.7055337738384067</v>
      </c>
      <c r="L5" s="1">
        <v>0.31</v>
      </c>
      <c r="M5" s="1">
        <v>38</v>
      </c>
      <c r="N5" s="1">
        <v>0.95</v>
      </c>
      <c r="O5" s="1">
        <v>1.44</v>
      </c>
      <c r="P5" s="1">
        <v>49</v>
      </c>
      <c r="Q5" s="1">
        <v>1.78</v>
      </c>
      <c r="R5" s="1">
        <v>0.8</v>
      </c>
      <c r="S5" s="1">
        <v>58.843400000000003</v>
      </c>
      <c r="T5" s="1">
        <v>3.8895</v>
      </c>
      <c r="U5" s="1">
        <f>T5</f>
        <v>3.8895</v>
      </c>
      <c r="V5" s="2"/>
      <c r="W5" s="2"/>
      <c r="X5" s="2"/>
      <c r="Y5" s="2"/>
      <c r="Z5" s="2"/>
      <c r="AA5" s="2"/>
    </row>
    <row r="6" spans="1:27" ht="16" customHeight="1">
      <c r="A6" s="1">
        <v>0.33</v>
      </c>
      <c r="B6" s="1">
        <v>0.56000000000000005</v>
      </c>
      <c r="C6" s="1">
        <v>1</v>
      </c>
      <c r="D6" s="1">
        <v>3</v>
      </c>
      <c r="E6" s="1">
        <v>0</v>
      </c>
      <c r="F6" s="1">
        <f>A6*6.941+B6*138.91+C6*47.867+D6*16+Sheet4!A6*87.62+Sheet4!B6*40.078+Sheet4!C6*26.982+Sheet4!D6*114.82+Sheet4!E6*58.993+Sheet4!F6*19+Sheet4!G6*23+Sheet4!H6*50.942+Sheet4!I6*92.906+Sheet4!J6*144.24+Sheet4!K6*107.87+Sheet4!L6*180.95+Sheet4!M6*91.224+Sheet4!N6*178.49</f>
        <v>175.94713000000002</v>
      </c>
      <c r="G6" s="1">
        <f>Sheet4!A6+Sheet4!C6+Sheet4!D6+Sheet4!E6+Sheet4!F6+Sheet4!G6+Sheet4!H6+Sheet4!I6+Sheet4!J6+Sheet4!K6+Sheet4!L6+Sheet4!M6+Sheet4!N6+Sheet4!O6+Sheet4!P6+Sheet4!Q6+Sheet4!R6+Sheet4!S6</f>
        <v>0</v>
      </c>
      <c r="H6" s="1">
        <v>0.11</v>
      </c>
      <c r="I6" s="1">
        <v>303</v>
      </c>
      <c r="J6" s="2">
        <v>9.1500000000000001E-4</v>
      </c>
      <c r="K6" s="1">
        <f t="shared" si="0"/>
        <v>-3.0385789059335515</v>
      </c>
      <c r="L6" s="1">
        <v>0.35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116.28</v>
      </c>
      <c r="T6" s="1">
        <v>3.8715099999999998</v>
      </c>
      <c r="U6" s="1">
        <v>7.7579000000000002</v>
      </c>
      <c r="V6" s="3" t="s">
        <v>48</v>
      </c>
      <c r="W6" s="6"/>
      <c r="X6" s="6"/>
      <c r="Y6" s="6"/>
      <c r="Z6" s="6"/>
      <c r="AA6" s="6"/>
    </row>
    <row r="7" spans="1:27" ht="16" customHeight="1">
      <c r="A7" s="1">
        <v>0.36</v>
      </c>
      <c r="B7" s="1">
        <v>0.53</v>
      </c>
      <c r="C7" s="1">
        <v>1</v>
      </c>
      <c r="D7" s="1">
        <v>3</v>
      </c>
      <c r="E7" s="1">
        <v>1</v>
      </c>
      <c r="F7" s="1">
        <f>A7*6.941+B7*138.91+C7*47.867+D7*16+Sheet4!A7*87.62+Sheet4!B7*40.078+Sheet4!C7*26.982+Sheet4!D7*114.82+Sheet4!E7*58.993+Sheet4!F7*19+Sheet4!G7*23+Sheet4!H7*50.942+Sheet4!I7*92.906+Sheet4!J7*144.24+Sheet4!K7*107.87+Sheet4!L7*180.95+Sheet4!M7*91.224+Sheet4!N7*178.49</f>
        <v>174.61666</v>
      </c>
      <c r="G7" s="1">
        <f>Sheet4!A7+Sheet4!C7+Sheet4!D7+Sheet4!E7+Sheet4!F7+Sheet4!G7+Sheet4!H7+Sheet4!I7+Sheet4!J7+Sheet4!K7+Sheet4!L7+Sheet4!M7+Sheet4!N7+Sheet4!O7+Sheet4!P7+Sheet4!Q7+Sheet4!R7+Sheet4!S7</f>
        <v>0.03</v>
      </c>
      <c r="H7" s="1">
        <f>1-A7-B7-Sheet4!A7</f>
        <v>7.9999999999999988E-2</v>
      </c>
      <c r="I7" s="1">
        <v>303</v>
      </c>
      <c r="J7" s="2">
        <v>1.9499999999999999E-3</v>
      </c>
      <c r="K7" s="1">
        <f t="shared" si="0"/>
        <v>-2.7099653886374822</v>
      </c>
      <c r="L7" s="1">
        <v>0.3</v>
      </c>
      <c r="M7" s="1">
        <v>38</v>
      </c>
      <c r="N7" s="1">
        <v>0.95</v>
      </c>
      <c r="O7" s="1">
        <v>1.44</v>
      </c>
      <c r="P7" s="1">
        <v>0</v>
      </c>
      <c r="Q7" s="1">
        <v>0</v>
      </c>
      <c r="R7" s="1">
        <v>0</v>
      </c>
      <c r="S7" s="1">
        <v>58.192</v>
      </c>
      <c r="T7" s="1">
        <v>3.87514</v>
      </c>
      <c r="U7" s="1">
        <f>T7</f>
        <v>3.87514</v>
      </c>
      <c r="V7" s="2"/>
      <c r="W7" s="6"/>
      <c r="X7" s="6"/>
      <c r="Y7" s="6"/>
      <c r="Z7" s="6"/>
      <c r="AA7" s="6"/>
    </row>
    <row r="8" spans="1:27" ht="16" customHeight="1">
      <c r="A8" s="1">
        <v>0.39</v>
      </c>
      <c r="B8" s="1">
        <v>0.5</v>
      </c>
      <c r="C8" s="1">
        <v>1</v>
      </c>
      <c r="D8" s="1">
        <v>3</v>
      </c>
      <c r="E8" s="1">
        <v>1</v>
      </c>
      <c r="F8" s="1">
        <f>A8*6.941+B8*138.91+C8*47.867+D8*16+Sheet4!A8*87.62+Sheet4!B8*40.078+Sheet4!C8*26.982+Sheet4!D8*114.82+Sheet4!E8*58.993+Sheet4!F8*19+Sheet4!G8*23+Sheet4!H8*50.942+Sheet4!I8*92.906+Sheet4!J8*144.24+Sheet4!K8*107.87+Sheet4!L8*180.95+Sheet4!M8*91.224+Sheet4!N8*178.49</f>
        <v>173.28619</v>
      </c>
      <c r="G8" s="1">
        <f>Sheet4!A8+Sheet4!C8+Sheet4!D8+Sheet4!E8+Sheet4!F8+Sheet4!G8+Sheet4!H8+Sheet4!I8+Sheet4!J8+Sheet4!K8+Sheet4!L8+Sheet4!M8+Sheet4!N8+Sheet4!O8+Sheet4!P8+Sheet4!Q8+Sheet4!R8+Sheet4!S8</f>
        <v>0.06</v>
      </c>
      <c r="H8" s="1">
        <f>1-A8-B8-Sheet4!A8</f>
        <v>4.9999999999999989E-2</v>
      </c>
      <c r="I8" s="1">
        <v>303</v>
      </c>
      <c r="J8" s="2">
        <v>1.92E-3</v>
      </c>
      <c r="K8" s="1">
        <f t="shared" si="0"/>
        <v>-2.7166987712964503</v>
      </c>
      <c r="L8" s="1">
        <v>0.28999999999999998</v>
      </c>
      <c r="M8" s="1">
        <v>38</v>
      </c>
      <c r="N8" s="1">
        <v>0.95</v>
      </c>
      <c r="O8" s="1">
        <v>1.44</v>
      </c>
      <c r="P8" s="1">
        <v>0</v>
      </c>
      <c r="Q8" s="1">
        <v>0</v>
      </c>
      <c r="R8" s="1">
        <v>0</v>
      </c>
      <c r="S8" s="1">
        <v>58.253</v>
      </c>
      <c r="T8" s="1">
        <v>3.8765000000000001</v>
      </c>
      <c r="U8" s="1">
        <f>T8</f>
        <v>3.8765000000000001</v>
      </c>
      <c r="V8" s="2"/>
      <c r="W8" s="2"/>
      <c r="X8" s="2"/>
      <c r="Y8" s="2"/>
      <c r="Z8" s="2"/>
      <c r="AA8" s="2"/>
    </row>
    <row r="9" spans="1:27" ht="16" customHeight="1">
      <c r="A9" s="1">
        <v>0.06</v>
      </c>
      <c r="B9" s="1">
        <f t="shared" ref="B9:B14" si="1">0.67-A9</f>
        <v>0.6100000000000001</v>
      </c>
      <c r="C9" s="1">
        <v>1</v>
      </c>
      <c r="D9" s="1">
        <v>3</v>
      </c>
      <c r="E9" s="1">
        <v>1</v>
      </c>
      <c r="F9" s="1">
        <f>A9*6.941+B9*138.91+C9*47.867+D9*16+Sheet4!A9*87.62+Sheet4!B9*40.078+Sheet4!C9*26.982+Sheet4!D9*114.82+Sheet4!E9*58.993+Sheet4!F9*19+Sheet4!G9*23+Sheet4!H9*50.942+Sheet4!I9*92.906+Sheet4!J9*144.24+Sheet4!K9*107.87+Sheet4!L9*180.95+Sheet4!M9*91.224+Sheet4!N9*178.49</f>
        <v>186.27576000000002</v>
      </c>
      <c r="G9" s="1">
        <f>Sheet4!A9+Sheet4!C9+Sheet4!D9+Sheet4!E9+Sheet4!F9+Sheet4!G9+Sheet4!H9+Sheet4!I9+Sheet4!J9+Sheet4!K9+Sheet4!L9+Sheet4!M9+Sheet4!N9+Sheet4!O9+Sheet4!P9+Sheet4!Q9+Sheet4!R9+Sheet4!S9</f>
        <v>0.06</v>
      </c>
      <c r="H9" s="1">
        <f>1-A9-B9-Sheet4!A9</f>
        <v>0.26999999999999985</v>
      </c>
      <c r="I9" s="1">
        <v>300</v>
      </c>
      <c r="J9" s="2">
        <v>1.13E-5</v>
      </c>
      <c r="K9" s="1">
        <f t="shared" ref="K9:K20" si="2">LOG(J9)</f>
        <v>-4.9469215565165801</v>
      </c>
      <c r="L9" s="1">
        <v>0.37</v>
      </c>
      <c r="M9" s="1">
        <v>38</v>
      </c>
      <c r="N9" s="1">
        <v>0.95</v>
      </c>
      <c r="O9" s="1">
        <v>1.44</v>
      </c>
      <c r="P9" s="1">
        <v>0</v>
      </c>
      <c r="Q9" s="1">
        <v>0</v>
      </c>
      <c r="R9" s="1">
        <v>0</v>
      </c>
      <c r="S9" s="1">
        <v>232.95</v>
      </c>
      <c r="T9" s="1">
        <v>5.4770000000000003</v>
      </c>
      <c r="U9" s="1">
        <v>7.7670000000000003</v>
      </c>
      <c r="V9" s="2" t="s">
        <v>26</v>
      </c>
      <c r="W9" s="2"/>
      <c r="X9" s="2"/>
      <c r="Y9" s="2"/>
      <c r="Z9" s="2"/>
      <c r="AA9" s="2"/>
    </row>
    <row r="10" spans="1:27" ht="16" customHeight="1">
      <c r="A10" s="1">
        <v>0.1</v>
      </c>
      <c r="B10" s="1">
        <f t="shared" si="1"/>
        <v>0.57000000000000006</v>
      </c>
      <c r="C10" s="1">
        <v>1</v>
      </c>
      <c r="D10" s="1">
        <v>3</v>
      </c>
      <c r="E10" s="1">
        <v>1</v>
      </c>
      <c r="F10" s="1">
        <f>A10*6.941+B10*138.91+C10*47.867+D10*16+Sheet4!A10*87.62+Sheet4!B10*40.078+Sheet4!C10*26.982+Sheet4!D10*114.82+Sheet4!E10*58.993+Sheet4!F10*19+Sheet4!G10*23+Sheet4!H10*50.942+Sheet4!I10*92.906+Sheet4!J10*144.24+Sheet4!K10*107.87+Sheet4!L10*180.95+Sheet4!M10*91.224+Sheet4!N10*178.49</f>
        <v>184.5018</v>
      </c>
      <c r="G10" s="1">
        <f>Sheet4!A10+Sheet4!C10+Sheet4!D10+Sheet4!E10+Sheet4!F10+Sheet4!G10+Sheet4!H10+Sheet4!I10+Sheet4!J10+Sheet4!K10+Sheet4!L10+Sheet4!M10+Sheet4!N10+Sheet4!O10+Sheet4!P10+Sheet4!Q10+Sheet4!R10+Sheet4!S10</f>
        <v>0.1</v>
      </c>
      <c r="H10" s="1">
        <f>1-A10-B10-Sheet4!A10</f>
        <v>0.22999999999999995</v>
      </c>
      <c r="I10" s="1">
        <v>300</v>
      </c>
      <c r="J10" s="2">
        <v>1.3699999999999999E-5</v>
      </c>
      <c r="K10" s="1">
        <f t="shared" si="2"/>
        <v>-4.8632794328435933</v>
      </c>
      <c r="L10" s="1">
        <v>0.37</v>
      </c>
      <c r="M10" s="1">
        <v>38</v>
      </c>
      <c r="N10" s="1">
        <v>0.95</v>
      </c>
      <c r="O10" s="1">
        <v>1.44</v>
      </c>
      <c r="P10" s="1">
        <v>0</v>
      </c>
      <c r="Q10" s="1">
        <v>0</v>
      </c>
      <c r="R10" s="1">
        <v>0</v>
      </c>
      <c r="S10" s="1">
        <v>233.13</v>
      </c>
      <c r="T10" s="1">
        <v>5.4809999999999999</v>
      </c>
      <c r="U10" s="1">
        <v>7.7679999999999998</v>
      </c>
      <c r="V10" s="2"/>
      <c r="W10" s="2"/>
      <c r="X10" s="2"/>
      <c r="Y10" s="2"/>
      <c r="Z10" s="2"/>
      <c r="AA10" s="2"/>
    </row>
    <row r="11" spans="1:27" ht="16" customHeight="1">
      <c r="A11" s="1">
        <v>0.15</v>
      </c>
      <c r="B11" s="1">
        <f t="shared" si="1"/>
        <v>0.52</v>
      </c>
      <c r="C11" s="1">
        <v>1</v>
      </c>
      <c r="D11" s="1">
        <v>3</v>
      </c>
      <c r="E11" s="1">
        <v>1</v>
      </c>
      <c r="F11" s="1">
        <f>A11*6.941+B11*138.91+C11*47.867+D11*16+Sheet4!A11*87.62+Sheet4!B11*40.078+Sheet4!C11*26.982+Sheet4!D11*114.82+Sheet4!E11*58.993+Sheet4!F11*19+Sheet4!G11*23+Sheet4!H11*50.942+Sheet4!I11*92.906+Sheet4!J11*144.24+Sheet4!K11*107.87+Sheet4!L11*180.95+Sheet4!M11*91.224+Sheet4!N11*178.49</f>
        <v>182.28434999999999</v>
      </c>
      <c r="G11" s="1">
        <f>Sheet4!A11+Sheet4!C11+Sheet4!D11+Sheet4!E11+Sheet4!F11+Sheet4!G11+Sheet4!H11+Sheet4!I11+Sheet4!J11+Sheet4!K11+Sheet4!L11+Sheet4!M11+Sheet4!N11+Sheet4!O11+Sheet4!P11+Sheet4!Q11+Sheet4!R11+Sheet4!S11</f>
        <v>0.15</v>
      </c>
      <c r="H11" s="1">
        <f>1-A11-B11-Sheet4!A11</f>
        <v>0.17999999999999997</v>
      </c>
      <c r="I11" s="1">
        <v>300</v>
      </c>
      <c r="J11" s="2">
        <v>5.3000000000000001E-5</v>
      </c>
      <c r="K11" s="1">
        <f t="shared" si="2"/>
        <v>-4.2757241303992108</v>
      </c>
      <c r="L11" s="1">
        <v>0.38</v>
      </c>
      <c r="M11" s="1">
        <v>38</v>
      </c>
      <c r="N11" s="1">
        <v>0.95</v>
      </c>
      <c r="O11" s="1">
        <v>1.44</v>
      </c>
      <c r="P11" s="1">
        <v>0</v>
      </c>
      <c r="Q11" s="1">
        <v>0</v>
      </c>
      <c r="R11" s="1">
        <v>0</v>
      </c>
      <c r="S11" s="1">
        <v>233.87</v>
      </c>
      <c r="T11" s="1">
        <v>5.4889999999999999</v>
      </c>
      <c r="U11" s="1">
        <v>7.7690000000000001</v>
      </c>
      <c r="V11" s="2"/>
      <c r="W11" s="2"/>
      <c r="X11" s="2"/>
      <c r="Y11" s="2"/>
      <c r="Z11" s="2"/>
      <c r="AA11" s="2"/>
    </row>
    <row r="12" spans="1:27" ht="16" customHeight="1">
      <c r="A12" s="1">
        <v>0.25</v>
      </c>
      <c r="B12" s="1">
        <f t="shared" si="1"/>
        <v>0.42000000000000004</v>
      </c>
      <c r="C12" s="1">
        <v>1</v>
      </c>
      <c r="D12" s="1">
        <v>3</v>
      </c>
      <c r="E12" s="1">
        <v>1</v>
      </c>
      <c r="F12" s="1">
        <f>A12*6.941+B12*138.91+C12*47.867+D12*16+Sheet4!A12*87.62+Sheet4!B12*40.078+Sheet4!C12*26.982+Sheet4!D12*114.82+Sheet4!E12*58.993+Sheet4!F12*19+Sheet4!G12*23+Sheet4!H12*50.942+Sheet4!I12*92.906+Sheet4!J12*144.24+Sheet4!K12*107.87+Sheet4!L12*180.95+Sheet4!M12*91.224+Sheet4!N12*178.49</f>
        <v>177.84945000000002</v>
      </c>
      <c r="G12" s="1">
        <f>Sheet4!A12+Sheet4!C12+Sheet4!D12+Sheet4!E12+Sheet4!F12+Sheet4!G12+Sheet4!H12+Sheet4!I12+Sheet4!J12+Sheet4!K12+Sheet4!L12+Sheet4!M12+Sheet4!N12+Sheet4!O12+Sheet4!P12+Sheet4!Q12+Sheet4!R12+Sheet4!S12</f>
        <v>0.25</v>
      </c>
      <c r="H12" s="1">
        <f>1-A12-B12-Sheet4!A12</f>
        <v>7.999999999999996E-2</v>
      </c>
      <c r="I12" s="1">
        <v>300</v>
      </c>
      <c r="J12" s="2">
        <v>7.64E-5</v>
      </c>
      <c r="K12" s="1">
        <f t="shared" si="2"/>
        <v>-4.1169066414243103</v>
      </c>
      <c r="L12" s="1">
        <v>0.35</v>
      </c>
      <c r="M12" s="1">
        <v>38</v>
      </c>
      <c r="N12" s="1">
        <v>0.95</v>
      </c>
      <c r="O12" s="1">
        <v>1.44</v>
      </c>
      <c r="P12" s="1">
        <v>0</v>
      </c>
      <c r="Q12" s="1">
        <v>0</v>
      </c>
      <c r="R12" s="1">
        <v>0</v>
      </c>
      <c r="S12" s="1">
        <v>234.52</v>
      </c>
      <c r="T12" s="1">
        <v>5.4950000000000001</v>
      </c>
      <c r="U12" s="1">
        <v>7.7720000000000002</v>
      </c>
      <c r="V12" s="2"/>
      <c r="W12" s="2"/>
      <c r="X12" s="2"/>
      <c r="Y12" s="2"/>
      <c r="Z12" s="2"/>
      <c r="AA12" s="2"/>
    </row>
    <row r="13" spans="1:27" ht="16" customHeight="1">
      <c r="A13" s="1">
        <v>0.27500000000000002</v>
      </c>
      <c r="B13" s="1">
        <f t="shared" si="1"/>
        <v>0.39500000000000002</v>
      </c>
      <c r="C13" s="1">
        <v>1</v>
      </c>
      <c r="D13" s="1">
        <v>3</v>
      </c>
      <c r="E13" s="1">
        <v>1</v>
      </c>
      <c r="F13" s="1">
        <f>A13*6.941+B13*138.91+C13*47.867+D13*16+Sheet4!A13*87.62+Sheet4!B13*40.078+Sheet4!C13*26.982+Sheet4!D13*114.82+Sheet4!E13*58.993+Sheet4!F13*19+Sheet4!G13*23+Sheet4!H13*50.942+Sheet4!I13*92.906+Sheet4!J13*144.24+Sheet4!K13*107.87+Sheet4!L13*180.95+Sheet4!M13*91.224+Sheet4!N13*178.49</f>
        <v>176.740725</v>
      </c>
      <c r="G13" s="1">
        <f>Sheet4!A13+Sheet4!C13+Sheet4!D13+Sheet4!E13+Sheet4!F13+Sheet4!G13+Sheet4!H13+Sheet4!I13+Sheet4!J13+Sheet4!K13+Sheet4!L13+Sheet4!M13+Sheet4!N13+Sheet4!O13+Sheet4!P13+Sheet4!Q13+Sheet4!R13+Sheet4!S13</f>
        <v>0.27500000000000002</v>
      </c>
      <c r="H13" s="1">
        <f>1-A13-B13-Sheet4!A13</f>
        <v>5.4999999999999938E-2</v>
      </c>
      <c r="I13" s="1">
        <v>300</v>
      </c>
      <c r="J13" s="2">
        <v>6.0399999999999998E-5</v>
      </c>
      <c r="K13" s="1">
        <f t="shared" si="2"/>
        <v>-4.2189630613788678</v>
      </c>
      <c r="L13" s="1">
        <v>0.37</v>
      </c>
      <c r="M13" s="1">
        <v>38</v>
      </c>
      <c r="N13" s="1">
        <v>0.95</v>
      </c>
      <c r="O13" s="1">
        <v>1.44</v>
      </c>
      <c r="P13" s="1">
        <v>0</v>
      </c>
      <c r="Q13" s="1">
        <v>0</v>
      </c>
      <c r="R13" s="1">
        <v>0</v>
      </c>
      <c r="S13" s="1">
        <v>234.73</v>
      </c>
      <c r="T13" s="1">
        <v>5.4969999999999999</v>
      </c>
      <c r="U13" s="1">
        <v>7.774</v>
      </c>
      <c r="V13" s="2"/>
      <c r="W13" s="2"/>
      <c r="X13" s="2"/>
      <c r="Y13" s="2"/>
      <c r="Z13" s="2"/>
      <c r="AA13" s="2"/>
    </row>
    <row r="14" spans="1:27" ht="16" customHeight="1">
      <c r="A14" s="1">
        <v>0.3</v>
      </c>
      <c r="B14" s="1">
        <f t="shared" si="1"/>
        <v>0.37000000000000005</v>
      </c>
      <c r="C14" s="1">
        <v>1</v>
      </c>
      <c r="D14" s="1">
        <v>3</v>
      </c>
      <c r="E14" s="1">
        <v>1</v>
      </c>
      <c r="F14" s="1">
        <f>A14*6.941+B14*138.91+C14*47.867+D14*16+Sheet4!A14*87.62+Sheet4!B14*40.078+Sheet4!C14*26.982+Sheet4!D14*114.82+Sheet4!E14*58.993+Sheet4!F14*19+Sheet4!G14*23+Sheet4!H14*50.942+Sheet4!I14*92.906+Sheet4!J14*144.24+Sheet4!K14*107.87+Sheet4!L14*180.95+Sheet4!M14*91.224+Sheet4!N14*178.49</f>
        <v>175.63200000000001</v>
      </c>
      <c r="G14" s="1">
        <f>Sheet4!A14+Sheet4!C14+Sheet4!D14+Sheet4!E14+Sheet4!F14+Sheet4!G14+Sheet4!H14+Sheet4!I14+Sheet4!J14+Sheet4!K14+Sheet4!L14+Sheet4!M14+Sheet4!N14+Sheet4!O14+Sheet4!P14+Sheet4!Q14+Sheet4!R14+Sheet4!S14</f>
        <v>0.3</v>
      </c>
      <c r="H14" s="1">
        <f>1-A14-B14-Sheet4!A14</f>
        <v>2.9999999999999916E-2</v>
      </c>
      <c r="I14" s="1">
        <v>300</v>
      </c>
      <c r="J14" s="2">
        <v>1.9199999999999999E-5</v>
      </c>
      <c r="K14" s="1">
        <f t="shared" si="2"/>
        <v>-4.7166987712964508</v>
      </c>
      <c r="L14" s="1">
        <v>0.35</v>
      </c>
      <c r="M14" s="1">
        <v>38</v>
      </c>
      <c r="N14" s="1">
        <v>0.95</v>
      </c>
      <c r="O14" s="1">
        <v>1.44</v>
      </c>
      <c r="P14" s="1">
        <v>0</v>
      </c>
      <c r="Q14" s="1">
        <v>0</v>
      </c>
      <c r="R14" s="1">
        <v>0</v>
      </c>
      <c r="S14" s="1">
        <v>234.88</v>
      </c>
      <c r="T14" s="1">
        <v>5.4989999999999997</v>
      </c>
      <c r="U14" s="1">
        <v>7.7750000000000004</v>
      </c>
      <c r="V14" s="2"/>
      <c r="W14" s="2"/>
      <c r="X14" s="2"/>
      <c r="Y14" s="2"/>
      <c r="Z14" s="2"/>
      <c r="AA14" s="2"/>
    </row>
    <row r="15" spans="1:27" ht="16" customHeight="1">
      <c r="A15" s="1">
        <f>3/14</f>
        <v>0.21428571428571427</v>
      </c>
      <c r="B15" s="1">
        <f>3/7</f>
        <v>0.42857142857142855</v>
      </c>
      <c r="C15" s="1">
        <v>1</v>
      </c>
      <c r="D15" s="1">
        <v>3</v>
      </c>
      <c r="E15" s="1">
        <v>1</v>
      </c>
      <c r="F15" s="1">
        <f>A15*6.941+B15*138.91+C15*47.867+D15*16+Sheet4!A15*87.62+Sheet4!B15*40.078+Sheet4!C15*26.982+Sheet4!D15*114.82+Sheet4!E15*58.993+Sheet4!F15*19+Sheet4!G15*23+Sheet4!H15*50.942+Sheet4!I15*92.906+Sheet4!J15*144.24+Sheet4!K15*107.87+Sheet4!L15*180.95+Sheet4!M15*91.224+Sheet4!N15*178.49</f>
        <v>178.79221428571427</v>
      </c>
      <c r="G15" s="1">
        <f>Sheet4!A15+Sheet4!C15+Sheet4!D15+Sheet4!E15+Sheet4!F15+Sheet4!G15+Sheet4!H15+Sheet4!I15+Sheet4!J15+Sheet4!K15+Sheet4!L15+Sheet4!M15+Sheet4!N15+Sheet4!O15+Sheet4!P15+Sheet4!Q15+Sheet4!R15+Sheet4!S15</f>
        <v>0.25</v>
      </c>
      <c r="H15" s="1">
        <f>1-A15-B15-Sheet4!A15</f>
        <v>0.10714285714285715</v>
      </c>
      <c r="I15" s="5">
        <v>303</v>
      </c>
      <c r="J15" s="2">
        <v>1.66E-5</v>
      </c>
      <c r="K15" s="1">
        <f t="shared" si="2"/>
        <v>-4.779891911959945</v>
      </c>
      <c r="L15" s="1">
        <v>0.32</v>
      </c>
      <c r="M15" s="1">
        <v>38</v>
      </c>
      <c r="N15" s="1">
        <v>0.95</v>
      </c>
      <c r="O15" s="1">
        <v>1.44</v>
      </c>
      <c r="P15" s="1">
        <v>0</v>
      </c>
      <c r="Q15" s="1">
        <v>0</v>
      </c>
      <c r="R15" s="1">
        <v>0</v>
      </c>
      <c r="S15" s="1">
        <v>58.442599999999999</v>
      </c>
      <c r="T15" s="1">
        <v>3.8807</v>
      </c>
      <c r="U15" s="1">
        <f>T15</f>
        <v>3.8807</v>
      </c>
      <c r="V15" s="3" t="s">
        <v>3</v>
      </c>
      <c r="W15" s="2"/>
      <c r="X15" s="2"/>
      <c r="Y15" s="2"/>
      <c r="Z15" s="2"/>
      <c r="AA15" s="2"/>
    </row>
    <row r="16" spans="1:27">
      <c r="A16" s="1">
        <v>0.25</v>
      </c>
      <c r="B16" s="1">
        <v>0.5</v>
      </c>
      <c r="C16" s="1">
        <v>1</v>
      </c>
      <c r="D16" s="1">
        <v>3</v>
      </c>
      <c r="E16" s="1">
        <v>1</v>
      </c>
      <c r="F16" s="1">
        <f>A16*6.941+B16*138.91+C16*47.867+D16*16+Sheet4!A16*87.62+Sheet4!B16*40.078+Sheet4!C16*26.982+Sheet4!D16*114.82+Sheet4!E16*58.993+Sheet4!F16*19+Sheet4!G16*23+Sheet4!H16*50.942+Sheet4!I16*92.906+Sheet4!J16*144.24+Sheet4!K16*107.87+Sheet4!L16*180.95+Sheet4!M16*91.224+Sheet4!N16*178.49</f>
        <v>178.00975</v>
      </c>
      <c r="G16" s="1">
        <f>Sheet4!A16+Sheet4!C16+Sheet4!D16+Sheet4!E16+Sheet4!F16+Sheet4!G16+Sheet4!H16+Sheet4!I16+Sheet4!J16+Sheet4!K16+Sheet4!L16+Sheet4!M16+Sheet4!N16+Sheet4!O16+Sheet4!P16+Sheet4!Q16+Sheet4!R16+Sheet4!S16</f>
        <v>0.125</v>
      </c>
      <c r="H16" s="1">
        <f>1-A16-B16-Sheet4!A16</f>
        <v>0.125</v>
      </c>
      <c r="I16" s="5">
        <v>303</v>
      </c>
      <c r="J16" s="2">
        <v>2.5000000000000001E-4</v>
      </c>
      <c r="K16" s="1">
        <f t="shared" si="2"/>
        <v>-3.6020599913279625</v>
      </c>
      <c r="L16" s="1">
        <v>0.3</v>
      </c>
      <c r="M16" s="1">
        <v>38</v>
      </c>
      <c r="N16" s="1">
        <v>0.95</v>
      </c>
      <c r="O16" s="1">
        <v>1.44</v>
      </c>
      <c r="P16" s="1">
        <v>0</v>
      </c>
      <c r="Q16" s="1">
        <v>0</v>
      </c>
      <c r="R16" s="1">
        <v>0</v>
      </c>
      <c r="S16" s="1">
        <v>55.334299999999999</v>
      </c>
      <c r="T16" s="1">
        <v>3.8782999999999999</v>
      </c>
      <c r="U16" s="1">
        <f>T16</f>
        <v>3.8782999999999999</v>
      </c>
      <c r="V16" s="2"/>
      <c r="W16" s="2"/>
      <c r="X16" s="2"/>
      <c r="Y16" s="2"/>
      <c r="Z16" s="2"/>
      <c r="AA16" s="2"/>
    </row>
    <row r="17" spans="1:27">
      <c r="A17" s="1">
        <f>15/56</f>
        <v>0.26785714285714285</v>
      </c>
      <c r="B17" s="1">
        <f>15/28</f>
        <v>0.5357142857142857</v>
      </c>
      <c r="C17" s="1">
        <v>1</v>
      </c>
      <c r="D17" s="1">
        <v>3</v>
      </c>
      <c r="E17" s="1">
        <v>1</v>
      </c>
      <c r="F17" s="1">
        <f>A17*6.941+B17*138.91+C17*47.867+D17*16+Sheet4!A17*87.62+Sheet4!B17*40.078+Sheet4!C17*26.982+Sheet4!D17*114.82+Sheet4!E17*58.993+Sheet4!F17*19+Sheet4!G17*23+Sheet4!H17*50.942+Sheet4!I17*92.906+Sheet4!J17*144.24+Sheet4!K17*107.87+Sheet4!L17*180.95+Sheet4!M17*91.224+Sheet4!N17*178.49</f>
        <v>177.61851785714285</v>
      </c>
      <c r="G17" s="1">
        <f>Sheet4!A17+Sheet4!C17+Sheet4!D17+Sheet4!E17+Sheet4!F17+Sheet4!G17+Sheet4!H17+Sheet4!I17+Sheet4!J17+Sheet4!K17+Sheet4!L17+Sheet4!M17+Sheet4!N17+Sheet4!O17+Sheet4!P17+Sheet4!Q17+Sheet4!R17+Sheet4!S17</f>
        <v>6.25E-2</v>
      </c>
      <c r="H17" s="1">
        <f>1-A17-B17-Sheet4!A17</f>
        <v>0.13392857142857151</v>
      </c>
      <c r="I17" s="5">
        <v>303</v>
      </c>
      <c r="J17" s="2">
        <v>1.5E-3</v>
      </c>
      <c r="K17" s="1">
        <f t="shared" si="2"/>
        <v>-2.8239087409443187</v>
      </c>
      <c r="L17" s="1">
        <v>0.28999999999999998</v>
      </c>
      <c r="M17" s="1">
        <v>38</v>
      </c>
      <c r="N17" s="1">
        <v>0.95</v>
      </c>
      <c r="O17" s="1">
        <v>1.44</v>
      </c>
      <c r="P17" s="1">
        <v>0</v>
      </c>
      <c r="Q17" s="1">
        <v>0</v>
      </c>
      <c r="R17" s="1">
        <v>0</v>
      </c>
      <c r="V17" s="2"/>
      <c r="W17" s="2"/>
      <c r="X17" s="2"/>
      <c r="Y17" s="2"/>
      <c r="Z17" s="2"/>
      <c r="AA17" s="2"/>
    </row>
    <row r="18" spans="1:27">
      <c r="A18" s="1">
        <f>2/7</f>
        <v>0.2857142857142857</v>
      </c>
      <c r="B18" s="1">
        <f>4/7</f>
        <v>0.5714285714285714</v>
      </c>
      <c r="C18" s="1">
        <v>1</v>
      </c>
      <c r="D18" s="1">
        <v>3</v>
      </c>
      <c r="E18" s="1">
        <v>0</v>
      </c>
      <c r="F18" s="1">
        <f>A18*6.941+B18*138.91+C18*47.867+D18*16+Sheet4!A18*87.62+Sheet4!B18*40.078+Sheet4!C18*26.982+Sheet4!D18*114.82+Sheet4!E18*58.993+Sheet4!F18*19+Sheet4!G18*23+Sheet4!H18*50.942+Sheet4!I18*92.906+Sheet4!J18*144.24+Sheet4!K18*107.87+Sheet4!L18*180.95+Sheet4!M18*91.224+Sheet4!N18*178.49</f>
        <v>177.2272857142857</v>
      </c>
      <c r="G18" s="1">
        <f>Sheet4!A18+Sheet4!C18+Sheet4!D18+Sheet4!E18+Sheet4!F18+Sheet4!G18+Sheet4!H18+Sheet4!I18+Sheet4!J18+Sheet4!K18+Sheet4!L18+Sheet4!M18+Sheet4!N18+Sheet4!O18+Sheet4!P18+Sheet4!Q18+Sheet4!R18+Sheet4!S18</f>
        <v>0</v>
      </c>
      <c r="H18" s="1">
        <f>1/7</f>
        <v>0.14285714285714285</v>
      </c>
      <c r="I18" s="5">
        <v>303</v>
      </c>
      <c r="J18" s="2">
        <v>1.3799999999999999E-3</v>
      </c>
      <c r="K18" s="1">
        <f t="shared" si="2"/>
        <v>-2.8601209135987635</v>
      </c>
      <c r="L18" s="1">
        <v>0.3</v>
      </c>
      <c r="M18" s="1">
        <v>38</v>
      </c>
      <c r="N18" s="1">
        <v>0.95</v>
      </c>
      <c r="O18" s="1">
        <v>1.44</v>
      </c>
      <c r="P18" s="1">
        <v>0</v>
      </c>
      <c r="Q18" s="1">
        <v>0</v>
      </c>
      <c r="R18" s="1">
        <v>0</v>
      </c>
      <c r="S18" s="1">
        <v>115.8502</v>
      </c>
      <c r="T18" s="1">
        <v>3.8639000000000001</v>
      </c>
      <c r="U18" s="1">
        <v>7.7596999999999996</v>
      </c>
      <c r="V18" s="2"/>
      <c r="W18" s="2"/>
      <c r="X18" s="2"/>
      <c r="Y18" s="2"/>
      <c r="Z18" s="2"/>
      <c r="AA18" s="2"/>
    </row>
    <row r="19" spans="1:27">
      <c r="A19" s="1">
        <v>0.22500000000000001</v>
      </c>
      <c r="B19" s="1">
        <v>0.625</v>
      </c>
      <c r="C19" s="1">
        <v>0.9</v>
      </c>
      <c r="D19" s="1">
        <v>3</v>
      </c>
      <c r="E19" s="1">
        <v>1</v>
      </c>
      <c r="F19" s="1">
        <f>A19*6.941+B19*138.91+C19*47.867+D19*16+Sheet4!A19*87.62+Sheet4!B19*40.078+Sheet4!C19*26.982+Sheet4!D19*114.82+Sheet4!E19*58.993+Sheet4!F19*19+Sheet4!G19*23+Sheet4!H19*50.942+Sheet4!I19*92.906+Sheet4!J19*144.24+Sheet4!K19*107.87+Sheet4!L19*180.95+Sheet4!M19*91.224+Sheet4!N19*178.49</f>
        <v>182.158975</v>
      </c>
      <c r="G19" s="1">
        <f>Sheet4!A19+Sheet4!C19+Sheet4!D19+Sheet4!E19+Sheet4!F19+Sheet4!G19+Sheet4!H19+Sheet4!I19+Sheet4!J19+Sheet4!K19+Sheet4!L19+Sheet4!M19+Sheet4!N19+Sheet4!O19+Sheet4!P19+Sheet4!Q19+Sheet4!R19+Sheet4!S19</f>
        <v>0.1</v>
      </c>
      <c r="H19" s="1">
        <f t="shared" ref="H19:H26" si="3">1-A19-B19</f>
        <v>0.15000000000000002</v>
      </c>
      <c r="I19" s="1">
        <v>293</v>
      </c>
      <c r="J19" s="2">
        <v>1.5100000000000001E-3</v>
      </c>
      <c r="K19" s="1">
        <f t="shared" si="2"/>
        <v>-2.8210230527068307</v>
      </c>
      <c r="L19" s="1">
        <v>0.28000000000000003</v>
      </c>
      <c r="M19" s="1">
        <v>0</v>
      </c>
      <c r="N19" s="1">
        <v>0</v>
      </c>
      <c r="O19" s="1">
        <v>0</v>
      </c>
      <c r="P19" s="1">
        <v>13</v>
      </c>
      <c r="Q19" s="1">
        <v>1.61</v>
      </c>
      <c r="R19" s="1">
        <v>0.53500000000000003</v>
      </c>
      <c r="V19" s="3" t="s">
        <v>49</v>
      </c>
      <c r="W19" s="2"/>
      <c r="X19" s="2"/>
      <c r="Y19" s="2"/>
      <c r="Z19" s="2"/>
      <c r="AA19" s="2"/>
    </row>
    <row r="20" spans="1:27">
      <c r="A20" s="1">
        <v>0.25</v>
      </c>
      <c r="B20" s="1">
        <v>0.58299999999999996</v>
      </c>
      <c r="C20" s="1">
        <v>1</v>
      </c>
      <c r="D20" s="1">
        <v>3</v>
      </c>
      <c r="E20" s="1">
        <v>0</v>
      </c>
      <c r="F20" s="1">
        <f>A20*6.941+B20*138.91+C20*47.867+D20*16+Sheet4!A20*87.62+Sheet4!B20*40.078+Sheet4!C20*26.982+Sheet4!D20*114.82+Sheet4!E20*58.993+Sheet4!F20*19+Sheet4!G20*23+Sheet4!H20*50.942+Sheet4!I20*92.906+Sheet4!J20*144.24+Sheet4!K20*107.87+Sheet4!L20*180.95+Sheet4!M20*91.224+Sheet4!N20*178.49</f>
        <v>178.58677999999998</v>
      </c>
      <c r="G20" s="1">
        <f>Sheet4!A20+Sheet4!C20+Sheet4!D20+Sheet4!E20+Sheet4!F20+Sheet4!G20+Sheet4!H20+Sheet4!I20+Sheet4!J20+Sheet4!K20+Sheet4!L20+Sheet4!M20+Sheet4!N20+Sheet4!O20+Sheet4!P20+Sheet4!Q20+Sheet4!R20+Sheet4!S20</f>
        <v>0</v>
      </c>
      <c r="H20" s="1">
        <f t="shared" si="3"/>
        <v>0.16700000000000004</v>
      </c>
      <c r="I20" s="1">
        <v>293</v>
      </c>
      <c r="J20" s="2">
        <v>1.99E-3</v>
      </c>
      <c r="K20" s="1">
        <f t="shared" si="2"/>
        <v>-2.7011469235902932</v>
      </c>
      <c r="L20" s="1">
        <v>0.28000000000000003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V20" s="4"/>
      <c r="W20" s="2"/>
      <c r="X20" s="2"/>
      <c r="Y20" s="2"/>
      <c r="Z20" s="2"/>
      <c r="AA20" s="2"/>
    </row>
    <row r="21" spans="1:27">
      <c r="A21" s="1">
        <v>0.18</v>
      </c>
      <c r="B21" s="1">
        <v>0.61</v>
      </c>
      <c r="C21" s="1">
        <v>1</v>
      </c>
      <c r="D21" s="1">
        <v>3</v>
      </c>
      <c r="E21" s="1">
        <v>0</v>
      </c>
      <c r="F21" s="1">
        <f>A21*6.941+B21*138.91+C21*47.867+D21*16+Sheet4!A21*87.62+Sheet4!B21*40.078+Sheet4!C21*26.982+Sheet4!D21*114.82+Sheet4!E21*58.993+Sheet4!F21*19+Sheet4!G21*23+Sheet4!H21*50.942+Sheet4!I21*92.906+Sheet4!J21*144.24+Sheet4!K21*107.87+Sheet4!L21*180.95+Sheet4!M21*91.224+Sheet4!N21*178.49</f>
        <v>181.85148000000001</v>
      </c>
      <c r="G21" s="1">
        <f>Sheet4!A21+Sheet4!C21+Sheet4!D21+Sheet4!E21+Sheet4!F21+Sheet4!G21+Sheet4!H21+Sheet4!I21+Sheet4!J21+Sheet4!K21+Sheet4!L21+Sheet4!M21+Sheet4!N21+Sheet4!O21+Sheet4!P21+Sheet4!Q21+Sheet4!R21+Sheet4!S21</f>
        <v>0</v>
      </c>
      <c r="H21" s="1">
        <f t="shared" si="3"/>
        <v>0.21000000000000008</v>
      </c>
      <c r="I21" s="1">
        <v>298</v>
      </c>
      <c r="J21" s="2">
        <f>10^(K21)</f>
        <v>2.0892961308540387E-4</v>
      </c>
      <c r="K21" s="1">
        <v>-3.68</v>
      </c>
      <c r="L21" s="1">
        <v>0.316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V21" s="3" t="s">
        <v>0</v>
      </c>
      <c r="W21" s="2"/>
      <c r="X21" s="2"/>
      <c r="Y21" s="2"/>
      <c r="Z21" s="2"/>
      <c r="AA21" s="2"/>
    </row>
    <row r="22" spans="1:27">
      <c r="A22" s="1">
        <v>0.27</v>
      </c>
      <c r="B22" s="1">
        <v>0.57999999999999996</v>
      </c>
      <c r="C22" s="1">
        <v>1</v>
      </c>
      <c r="D22" s="1">
        <v>3</v>
      </c>
      <c r="E22" s="1">
        <v>0</v>
      </c>
      <c r="F22" s="1">
        <f>A22*6.941+B22*138.91+C22*47.867+D22*16+Sheet4!A22*87.62+Sheet4!B22*40.078+Sheet4!C22*26.982+Sheet4!D22*114.82+Sheet4!E22*58.993+Sheet4!F22*19+Sheet4!G22*23+Sheet4!H22*50.942+Sheet4!I22*92.906+Sheet4!J22*144.24+Sheet4!K22*107.87+Sheet4!L22*180.95+Sheet4!M22*91.224+Sheet4!N22*178.49</f>
        <v>178.30886999999998</v>
      </c>
      <c r="G22" s="1">
        <f>Sheet4!A22+Sheet4!C22+Sheet4!D22+Sheet4!E22+Sheet4!F22+Sheet4!G22+Sheet4!H22+Sheet4!I22+Sheet4!J22+Sheet4!K22+Sheet4!L22+Sheet4!M22+Sheet4!N22+Sheet4!O22+Sheet4!P22+Sheet4!Q22+Sheet4!R22+Sheet4!S22</f>
        <v>0</v>
      </c>
      <c r="H22" s="1">
        <f t="shared" si="3"/>
        <v>0.15000000000000002</v>
      </c>
      <c r="I22" s="1">
        <v>298</v>
      </c>
      <c r="J22" s="2">
        <f t="shared" ref="J22:J26" si="4">10^(K22)</f>
        <v>8.3176377110267033E-4</v>
      </c>
      <c r="K22" s="1">
        <v>-3.08</v>
      </c>
      <c r="L22" s="1">
        <v>0.316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V22" s="3"/>
      <c r="W22" s="2"/>
      <c r="X22" s="2"/>
      <c r="Y22" s="2"/>
      <c r="Z22" s="2"/>
      <c r="AA22" s="2"/>
    </row>
    <row r="23" spans="1:27">
      <c r="A23" s="1">
        <v>0.33</v>
      </c>
      <c r="B23" s="1">
        <v>0.56000000000000005</v>
      </c>
      <c r="C23" s="1">
        <v>1</v>
      </c>
      <c r="D23" s="1">
        <v>3</v>
      </c>
      <c r="E23" s="1">
        <v>0</v>
      </c>
      <c r="F23" s="1">
        <f>A23*6.941+B23*138.91+C23*47.867+D23*16+Sheet4!A23*87.62+Sheet4!B23*40.078+Sheet4!C23*26.982+Sheet4!D23*114.82+Sheet4!E23*58.993+Sheet4!F23*19+Sheet4!G23*23+Sheet4!H23*50.942+Sheet4!I23*92.906+Sheet4!J23*144.24+Sheet4!K23*107.87+Sheet4!L23*180.95+Sheet4!M23*91.224+Sheet4!N23*178.49</f>
        <v>175.94713000000002</v>
      </c>
      <c r="G23" s="1">
        <f>Sheet4!A23+Sheet4!C23+Sheet4!D23+Sheet4!E23+Sheet4!F23+Sheet4!G23+Sheet4!H23+Sheet4!I23+Sheet4!J23+Sheet4!K23+Sheet4!L23+Sheet4!M23+Sheet4!N23+Sheet4!O23+Sheet4!P23+Sheet4!Q23+Sheet4!R23+Sheet4!S23</f>
        <v>0</v>
      </c>
      <c r="H23" s="1">
        <f t="shared" si="3"/>
        <v>0.10999999999999988</v>
      </c>
      <c r="I23" s="1">
        <v>298</v>
      </c>
      <c r="J23" s="2">
        <f t="shared" si="4"/>
        <v>1.288249551693133E-3</v>
      </c>
      <c r="K23" s="1">
        <v>-2.89</v>
      </c>
      <c r="L23" s="1">
        <v>0.316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V23" s="3"/>
      <c r="W23" s="2"/>
      <c r="X23" s="2"/>
      <c r="Y23" s="2"/>
      <c r="Z23" s="2"/>
      <c r="AA23" s="2"/>
    </row>
    <row r="24" spans="1:27">
      <c r="A24" s="1">
        <v>0.36</v>
      </c>
      <c r="B24" s="1">
        <v>0.55000000000000004</v>
      </c>
      <c r="C24" s="1">
        <v>1</v>
      </c>
      <c r="D24" s="1">
        <v>3</v>
      </c>
      <c r="E24" s="1">
        <v>0</v>
      </c>
      <c r="F24" s="1">
        <f>A24*6.941+B24*138.91+C24*47.867+D24*16+Sheet4!A24*87.62+Sheet4!B24*40.078+Sheet4!C24*26.982+Sheet4!D24*114.82+Sheet4!E24*58.993+Sheet4!F24*19+Sheet4!G24*23+Sheet4!H24*50.942+Sheet4!I24*92.906+Sheet4!J24*144.24+Sheet4!K24*107.87+Sheet4!L24*180.95+Sheet4!M24*91.224+Sheet4!N24*178.49</f>
        <v>174.76626000000002</v>
      </c>
      <c r="G24" s="1">
        <f>Sheet4!A24+Sheet4!C24+Sheet4!D24+Sheet4!E24+Sheet4!F24+Sheet4!G24+Sheet4!H24+Sheet4!I24+Sheet4!J24+Sheet4!K24+Sheet4!L24+Sheet4!M24+Sheet4!N24+Sheet4!O24+Sheet4!P24+Sheet4!Q24+Sheet4!R24+Sheet4!S24</f>
        <v>0</v>
      </c>
      <c r="H24" s="1">
        <f t="shared" si="3"/>
        <v>8.9999999999999969E-2</v>
      </c>
      <c r="I24" s="1">
        <v>298</v>
      </c>
      <c r="J24" s="2">
        <f t="shared" si="4"/>
        <v>1.541700452949559E-3</v>
      </c>
      <c r="K24" s="1">
        <v>-2.8119999999999998</v>
      </c>
      <c r="L24" s="1">
        <v>0.316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V24" s="2"/>
      <c r="W24" s="2"/>
      <c r="X24" s="2"/>
      <c r="Y24" s="2"/>
      <c r="Z24" s="2"/>
      <c r="AA24" s="2"/>
    </row>
    <row r="25" spans="1:27">
      <c r="A25" s="1">
        <v>0.39</v>
      </c>
      <c r="B25" s="1">
        <v>0.54</v>
      </c>
      <c r="C25" s="1">
        <v>1</v>
      </c>
      <c r="D25" s="1">
        <v>3</v>
      </c>
      <c r="E25" s="1">
        <v>0</v>
      </c>
      <c r="F25" s="1">
        <f>A25*6.941+B25*138.91+C25*47.867+D25*16+Sheet4!A25*87.62+Sheet4!B25*40.078+Sheet4!C25*26.982+Sheet4!D25*114.82+Sheet4!E25*58.993+Sheet4!F25*19+Sheet4!G25*23+Sheet4!H25*50.942+Sheet4!I25*92.906+Sheet4!J25*144.24+Sheet4!K25*107.87+Sheet4!L25*180.95+Sheet4!M25*91.224+Sheet4!N25*178.49</f>
        <v>173.58539000000002</v>
      </c>
      <c r="G25" s="1">
        <f>Sheet4!A25+Sheet4!C25+Sheet4!D25+Sheet4!E25+Sheet4!F25+Sheet4!G25+Sheet4!H25+Sheet4!I25+Sheet4!J25+Sheet4!K25+Sheet4!L25+Sheet4!M25+Sheet4!N25+Sheet4!O25+Sheet4!P25+Sheet4!Q25+Sheet4!R25+Sheet4!S25</f>
        <v>0</v>
      </c>
      <c r="H25" s="1">
        <f t="shared" si="3"/>
        <v>6.9999999999999951E-2</v>
      </c>
      <c r="I25" s="1">
        <v>298</v>
      </c>
      <c r="J25" s="2">
        <f t="shared" si="4"/>
        <v>1.2302687708123808E-3</v>
      </c>
      <c r="K25" s="1">
        <v>-2.91</v>
      </c>
      <c r="L25" s="1">
        <v>0.316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V25" s="2"/>
      <c r="W25" s="2"/>
      <c r="X25" s="2"/>
      <c r="Y25" s="2"/>
      <c r="Z25" s="2"/>
      <c r="AA25" s="2"/>
    </row>
    <row r="26" spans="1:27">
      <c r="A26" s="1">
        <v>0.45</v>
      </c>
      <c r="B26" s="1">
        <v>0.52</v>
      </c>
      <c r="C26" s="1">
        <v>1</v>
      </c>
      <c r="D26" s="1">
        <v>3</v>
      </c>
      <c r="E26" s="1">
        <v>0</v>
      </c>
      <c r="F26" s="1">
        <f>A26*6.941+B26*138.91+C26*47.867+D26*16+Sheet4!A26*87.62+Sheet4!B26*40.078+Sheet4!C26*26.982+Sheet4!D26*114.82+Sheet4!E26*58.993+Sheet4!F26*19+Sheet4!G26*23+Sheet4!H26*50.942+Sheet4!I26*92.906+Sheet4!J26*144.24+Sheet4!K26*107.87+Sheet4!L26*180.95+Sheet4!M26*91.224+Sheet4!N26*178.49</f>
        <v>171.22364999999999</v>
      </c>
      <c r="G26" s="1">
        <f>Sheet4!A26+Sheet4!C26+Sheet4!D26+Sheet4!E26+Sheet4!F26+Sheet4!G26+Sheet4!H26+Sheet4!I26+Sheet4!J26+Sheet4!K26+Sheet4!L26+Sheet4!M26+Sheet4!N26+Sheet4!O26+Sheet4!P26+Sheet4!Q26+Sheet4!R26+Sheet4!S26</f>
        <v>0</v>
      </c>
      <c r="H26" s="1">
        <f t="shared" si="3"/>
        <v>3.0000000000000027E-2</v>
      </c>
      <c r="I26" s="1">
        <v>298</v>
      </c>
      <c r="J26" s="2">
        <f t="shared" si="4"/>
        <v>7.7624711662869128E-4</v>
      </c>
      <c r="K26" s="1">
        <v>-3.11</v>
      </c>
      <c r="L26" s="1">
        <v>0.316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V26" s="2"/>
      <c r="W26" s="2"/>
      <c r="X26" s="2"/>
      <c r="Y26" s="2"/>
      <c r="Z26" s="2"/>
      <c r="AA26" s="2"/>
    </row>
    <row r="27" spans="1:27">
      <c r="A27" s="1">
        <v>0.5</v>
      </c>
      <c r="B27" s="1">
        <v>0.5</v>
      </c>
      <c r="C27" s="1">
        <v>1</v>
      </c>
      <c r="D27" s="1">
        <v>3</v>
      </c>
      <c r="E27" s="1">
        <v>0</v>
      </c>
      <c r="F27" s="1">
        <f>A27*6.941+B27*138.91+C27*47.867+D27*16+Sheet4!A27*87.62+Sheet4!B27*40.078+Sheet4!C27*26.982+Sheet4!D27*114.82+Sheet4!E27*58.993+Sheet4!F27*19+Sheet4!G27*23+Sheet4!H27*50.942+Sheet4!I27*92.906+Sheet4!J27*144.24+Sheet4!K27*107.87+Sheet4!L27*180.95+Sheet4!M27*91.224+Sheet4!N27*178.49</f>
        <v>168.79249999999999</v>
      </c>
      <c r="G27" s="1">
        <f>Sheet4!A27+Sheet4!C27+Sheet4!D27+Sheet4!E27+Sheet4!F27+Sheet4!G27+Sheet4!H27+Sheet4!I27+Sheet4!J27+Sheet4!K27+Sheet4!L27+Sheet4!M27+Sheet4!N27+Sheet4!O27+Sheet4!P27+Sheet4!Q27+Sheet4!R27+Sheet4!S27</f>
        <v>0</v>
      </c>
      <c r="H27" s="1">
        <v>0</v>
      </c>
      <c r="I27" s="1">
        <v>303</v>
      </c>
      <c r="J27" s="2">
        <v>1.1900000000000001E-3</v>
      </c>
      <c r="K27" s="1">
        <f t="shared" ref="K27:K70" si="5">LOG(J27)</f>
        <v>-2.9244530386074694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V27" s="3" t="s">
        <v>1</v>
      </c>
      <c r="W27" s="2"/>
      <c r="X27" s="2"/>
      <c r="Y27" s="2"/>
      <c r="Z27" s="2"/>
      <c r="AA27" s="2"/>
    </row>
    <row r="28" spans="1:27">
      <c r="A28" s="1">
        <v>0.34</v>
      </c>
      <c r="B28" s="1">
        <v>0.51</v>
      </c>
      <c r="C28" s="1">
        <v>1</v>
      </c>
      <c r="D28" s="1">
        <v>2.94</v>
      </c>
      <c r="E28" s="1">
        <v>0</v>
      </c>
      <c r="F28" s="1">
        <f>A28*6.941+B28*138.91+C28*47.867+D28*16+Sheet4!A28*87.62+Sheet4!B28*40.078+Sheet4!C28*26.982+Sheet4!D28*114.82+Sheet4!E28*58.993+Sheet4!F28*19+Sheet4!G28*23+Sheet4!H28*50.942+Sheet4!I28*92.906+Sheet4!J28*144.24+Sheet4!K28*107.87+Sheet4!L28*180.95+Sheet4!M28*91.224+Sheet4!N28*178.49</f>
        <v>168.11103999999997</v>
      </c>
      <c r="G28" s="1">
        <f>Sheet4!A28+Sheet4!C28+Sheet4!D28+Sheet4!E28+Sheet4!F28+Sheet4!G28+Sheet4!H28+Sheet4!I28+Sheet4!J28+Sheet4!K28+Sheet4!L28+Sheet4!M28+Sheet4!N28+Sheet4!O28+Sheet4!P28+Sheet4!Q28+Sheet4!R28+Sheet4!S28</f>
        <v>0</v>
      </c>
      <c r="H28" s="1">
        <v>0.15</v>
      </c>
      <c r="I28" s="1">
        <v>303</v>
      </c>
      <c r="J28" s="2">
        <v>1E-3</v>
      </c>
      <c r="K28" s="1">
        <f t="shared" si="5"/>
        <v>-3</v>
      </c>
      <c r="L28" s="1">
        <v>0.4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V28" s="2"/>
      <c r="W28" s="2"/>
      <c r="X28" s="2"/>
      <c r="Y28" s="2"/>
      <c r="Z28" s="2"/>
      <c r="AA28" s="2"/>
    </row>
    <row r="29" spans="1:27">
      <c r="A29" s="1">
        <v>0.3</v>
      </c>
      <c r="B29" s="1">
        <v>0.51</v>
      </c>
      <c r="C29" s="1">
        <v>1</v>
      </c>
      <c r="D29" s="1">
        <v>3</v>
      </c>
      <c r="E29" s="1">
        <v>0</v>
      </c>
      <c r="F29" s="1">
        <f>A29*6.941+B29*138.91+C29*47.867+D29*16+Sheet4!A29*87.62+Sheet4!B29*40.078+Sheet4!C29*26.982+Sheet4!D29*114.82+Sheet4!E29*58.993+Sheet4!F29*19+Sheet4!G29*23+Sheet4!H29*50.942+Sheet4!I29*92.906+Sheet4!J29*144.24+Sheet4!K29*107.87+Sheet4!L29*180.95+Sheet4!M29*91.224+Sheet4!N29*178.49</f>
        <v>168.79339999999999</v>
      </c>
      <c r="G29" s="1">
        <f>Sheet4!A29+Sheet4!C29+Sheet4!D29+Sheet4!E29+Sheet4!F29+Sheet4!G29+Sheet4!H29+Sheet4!I29+Sheet4!J29+Sheet4!K29+Sheet4!L29+Sheet4!M29+Sheet4!N29+Sheet4!O29+Sheet4!P29+Sheet4!Q29+Sheet4!R29+Sheet4!S29</f>
        <v>0</v>
      </c>
      <c r="H29" s="1">
        <v>0.15</v>
      </c>
      <c r="I29" s="1">
        <v>303</v>
      </c>
      <c r="J29" s="2">
        <v>9.6900000000000003E-4</v>
      </c>
      <c r="K29" s="1">
        <f t="shared" si="5"/>
        <v>-3.0136762229492349</v>
      </c>
      <c r="L29" s="1">
        <v>0.27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V29" s="2"/>
      <c r="W29" s="2"/>
      <c r="X29" s="2"/>
      <c r="Y29" s="2"/>
      <c r="Z29" s="2"/>
      <c r="AA29" s="2"/>
    </row>
    <row r="30" spans="1:27">
      <c r="A30" s="1">
        <v>0.3</v>
      </c>
      <c r="B30" s="1">
        <v>0.56999999999999995</v>
      </c>
      <c r="C30" s="1">
        <v>1</v>
      </c>
      <c r="D30" s="1">
        <v>3</v>
      </c>
      <c r="E30" s="1">
        <v>0</v>
      </c>
      <c r="F30" s="1">
        <f>A30*6.941+B30*138.91+C30*47.867+D30*16+Sheet4!A30*87.62+Sheet4!B30*40.078+Sheet4!C30*26.982+Sheet4!D30*114.82+Sheet4!E30*58.993+Sheet4!F30*19+Sheet4!G30*23+Sheet4!H30*50.942+Sheet4!I30*92.906+Sheet4!J30*144.24+Sheet4!K30*107.87+Sheet4!L30*180.95+Sheet4!M30*91.224+Sheet4!N30*178.49</f>
        <v>177.12799999999999</v>
      </c>
      <c r="G30" s="1">
        <f>Sheet4!A30+Sheet4!C30+Sheet4!D30+Sheet4!E30+Sheet4!F30+Sheet4!G30+Sheet4!H30+Sheet4!I30+Sheet4!J30+Sheet4!K30+Sheet4!L30+Sheet4!M30+Sheet4!N30+Sheet4!O30+Sheet4!P30+Sheet4!Q30+Sheet4!R30+Sheet4!S30</f>
        <v>0</v>
      </c>
      <c r="H30" s="1">
        <v>0.13</v>
      </c>
      <c r="I30" s="1">
        <v>303</v>
      </c>
      <c r="J30" s="2">
        <v>3.6999999999999999E-4</v>
      </c>
      <c r="K30" s="1">
        <f t="shared" si="5"/>
        <v>-3.431798275933005</v>
      </c>
      <c r="L30" s="1">
        <v>0.33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V30" s="2"/>
      <c r="W30" s="2"/>
      <c r="X30" s="2"/>
      <c r="Y30" s="2"/>
      <c r="Z30" s="2"/>
      <c r="AA30" s="2"/>
    </row>
    <row r="31" spans="1:27">
      <c r="A31" s="1">
        <v>0.36</v>
      </c>
      <c r="B31" s="1">
        <v>0.57999999999999996</v>
      </c>
      <c r="C31" s="1">
        <v>0.95</v>
      </c>
      <c r="D31" s="1">
        <v>3</v>
      </c>
      <c r="E31" s="1">
        <v>1</v>
      </c>
      <c r="F31" s="1">
        <f>A31*6.941+B31*138.91+C31*47.867+D31*16+Sheet4!A31*87.62+Sheet4!B31*40.078+Sheet4!C31*26.982+Sheet4!D31*114.82+Sheet4!E31*58.993+Sheet4!F31*19+Sheet4!G31*23+Sheet4!H31*50.942+Sheet4!I31*92.906+Sheet4!J31*144.24+Sheet4!K31*107.87+Sheet4!L31*180.95+Sheet4!M31*91.224+Sheet4!N31*178.49</f>
        <v>176.54021</v>
      </c>
      <c r="G31" s="1">
        <f>Sheet4!A31+Sheet4!C31+Sheet4!D31+Sheet4!E31+Sheet4!F31+Sheet4!G31+Sheet4!H31+Sheet4!I31+Sheet4!J31+Sheet4!K31+Sheet4!L31+Sheet4!M31+Sheet4!N31+Sheet4!O31+Sheet4!P31+Sheet4!Q31+Sheet4!R31+Sheet4!S31</f>
        <v>0.05</v>
      </c>
      <c r="H31" s="1">
        <v>0.06</v>
      </c>
      <c r="I31" s="1">
        <v>298</v>
      </c>
      <c r="J31" s="2">
        <v>2.1000000000000001E-4</v>
      </c>
      <c r="K31" s="1">
        <f t="shared" si="5"/>
        <v>-3.6777807052660809</v>
      </c>
      <c r="L31" s="1">
        <v>0.28999999999999998</v>
      </c>
      <c r="M31" s="1">
        <v>0</v>
      </c>
      <c r="N31" s="1">
        <v>0</v>
      </c>
      <c r="O31" s="1">
        <v>0</v>
      </c>
      <c r="P31" s="1">
        <v>12</v>
      </c>
      <c r="Q31" s="1">
        <v>1.31</v>
      </c>
      <c r="R31" s="1">
        <v>0.72</v>
      </c>
      <c r="S31" s="1">
        <v>58.6</v>
      </c>
      <c r="T31" s="1">
        <v>3.8839999999999999</v>
      </c>
      <c r="U31" s="1">
        <f t="shared" ref="U31:U36" si="6">T31</f>
        <v>3.8839999999999999</v>
      </c>
      <c r="V31" s="3" t="s">
        <v>4</v>
      </c>
      <c r="W31" s="2"/>
      <c r="X31" s="2"/>
      <c r="Y31" s="2"/>
      <c r="Z31" s="2"/>
      <c r="AA31" s="2"/>
    </row>
    <row r="32" spans="1:27">
      <c r="A32" s="1">
        <v>0.36</v>
      </c>
      <c r="B32" s="1">
        <v>0.56000000000000005</v>
      </c>
      <c r="C32" s="1">
        <v>0.95</v>
      </c>
      <c r="D32" s="1">
        <v>3</v>
      </c>
      <c r="E32" s="1">
        <v>1</v>
      </c>
      <c r="F32" s="1">
        <f>A32*6.941+B32*138.91+C32*47.867+D32*16+Sheet4!A32*87.62+Sheet4!B32*40.078+Sheet4!C32*26.982+Sheet4!D32*114.82+Sheet4!E32*58.993+Sheet4!F32*19+Sheet4!G32*23+Sheet4!H32*50.942+Sheet4!I32*92.906+Sheet4!J32*144.24+Sheet4!K32*107.87+Sheet4!L32*180.95+Sheet4!M32*91.224+Sheet4!N32*178.49</f>
        <v>173.76201</v>
      </c>
      <c r="G32" s="1">
        <f>Sheet4!A32+Sheet4!C32+Sheet4!D32+Sheet4!E32+Sheet4!F32+Sheet4!G32+Sheet4!H32+Sheet4!I32+Sheet4!J32+Sheet4!K32+Sheet4!L32+Sheet4!M32+Sheet4!N32+Sheet4!O32+Sheet4!P32+Sheet4!Q32+Sheet4!R32+Sheet4!S32</f>
        <v>0</v>
      </c>
      <c r="H32" s="1">
        <v>0.08</v>
      </c>
      <c r="I32" s="1">
        <v>298</v>
      </c>
      <c r="J32" s="2">
        <v>6.4000000000000005E-4</v>
      </c>
      <c r="K32" s="1">
        <f t="shared" si="5"/>
        <v>-3.1938200260161129</v>
      </c>
      <c r="L32" s="1">
        <v>0.26</v>
      </c>
      <c r="M32" s="1">
        <v>0</v>
      </c>
      <c r="N32" s="1">
        <v>0</v>
      </c>
      <c r="O32" s="1">
        <v>0</v>
      </c>
      <c r="P32" s="1">
        <v>13</v>
      </c>
      <c r="Q32" s="1">
        <v>1.61</v>
      </c>
      <c r="R32" s="1">
        <v>0.53500000000000003</v>
      </c>
      <c r="S32" s="1">
        <v>57.9</v>
      </c>
      <c r="T32" s="1">
        <v>3.87</v>
      </c>
      <c r="U32" s="1">
        <f t="shared" si="6"/>
        <v>3.87</v>
      </c>
      <c r="V32" s="2"/>
      <c r="W32" s="2"/>
      <c r="X32" s="2"/>
      <c r="Y32" s="2"/>
      <c r="Z32" s="2"/>
      <c r="AA32" s="2"/>
    </row>
    <row r="33" spans="1:27">
      <c r="A33" s="1">
        <v>0.36</v>
      </c>
      <c r="B33" s="1">
        <v>0.55000000000000004</v>
      </c>
      <c r="C33" s="1">
        <v>0.95</v>
      </c>
      <c r="D33" s="1">
        <v>3</v>
      </c>
      <c r="E33" s="1">
        <v>1</v>
      </c>
      <c r="F33" s="1">
        <f>A33*6.941+B33*138.91+C33*47.867+D33*16+Sheet4!A33*87.62+Sheet4!B33*40.078+Sheet4!C33*26.982+Sheet4!D33*114.82+Sheet4!E33*58.993+Sheet4!F33*19+Sheet4!G33*23+Sheet4!H33*50.942+Sheet4!I33*92.906+Sheet4!J33*144.24+Sheet4!K33*107.87+Sheet4!L33*180.95+Sheet4!M33*91.224+Sheet4!N33*178.49</f>
        <v>172.37290999999999</v>
      </c>
      <c r="G33" s="1">
        <f>Sheet4!A33+Sheet4!C33+Sheet4!D33+Sheet4!E33+Sheet4!F33+Sheet4!G33+Sheet4!H33+Sheet4!I33+Sheet4!J33+Sheet4!K33+Sheet4!L33+Sheet4!M33+Sheet4!N33+Sheet4!O33+Sheet4!P33+Sheet4!Q33+Sheet4!R33+Sheet4!S33</f>
        <v>0.05</v>
      </c>
      <c r="H33" s="1">
        <v>0.09</v>
      </c>
      <c r="I33" s="1">
        <v>298</v>
      </c>
      <c r="J33" s="2">
        <v>1.9000000000000001E-4</v>
      </c>
      <c r="K33" s="1">
        <f t="shared" si="5"/>
        <v>-3.7212463990471711</v>
      </c>
      <c r="L33" s="1">
        <v>0.28999999999999998</v>
      </c>
      <c r="M33" s="1">
        <v>0</v>
      </c>
      <c r="N33" s="1">
        <v>0</v>
      </c>
      <c r="O33" s="1">
        <v>0</v>
      </c>
      <c r="P33" s="1">
        <v>25</v>
      </c>
      <c r="Q33" s="1">
        <v>1.55</v>
      </c>
      <c r="R33" s="1">
        <v>0.53</v>
      </c>
      <c r="S33" s="1">
        <v>57.8</v>
      </c>
      <c r="T33" s="1">
        <v>3.8660000000000001</v>
      </c>
      <c r="U33" s="1">
        <f t="shared" si="6"/>
        <v>3.8660000000000001</v>
      </c>
      <c r="V33" s="2"/>
      <c r="W33" s="2"/>
      <c r="X33" s="2"/>
      <c r="Y33" s="2"/>
      <c r="Z33" s="2"/>
      <c r="AA33" s="2"/>
    </row>
    <row r="34" spans="1:27">
      <c r="A34" s="1">
        <v>0.36</v>
      </c>
      <c r="B34" s="1">
        <v>0.55000000000000004</v>
      </c>
      <c r="C34" s="1">
        <v>0.95</v>
      </c>
      <c r="D34" s="1">
        <v>3</v>
      </c>
      <c r="E34" s="1">
        <v>1</v>
      </c>
      <c r="F34" s="1">
        <f>A34*6.941+B34*138.91+C34*47.867+D34*16+Sheet4!A34*87.62+Sheet4!B34*40.078+Sheet4!C34*26.982+Sheet4!D34*114.82+Sheet4!E34*58.993+Sheet4!F34*19+Sheet4!G34*23+Sheet4!H34*50.942+Sheet4!I34*92.906+Sheet4!J34*144.24+Sheet4!K34*107.87+Sheet4!L34*180.95+Sheet4!M34*91.224+Sheet4!N34*178.49</f>
        <v>172.37290999999999</v>
      </c>
      <c r="G34" s="1">
        <f>Sheet4!A34+Sheet4!C34+Sheet4!D34+Sheet4!E34+Sheet4!F34+Sheet4!G34+Sheet4!H34+Sheet4!I34+Sheet4!J34+Sheet4!K34+Sheet4!L34+Sheet4!M34+Sheet4!N34+Sheet4!O34+Sheet4!P34+Sheet4!Q34+Sheet4!R34+Sheet4!S34</f>
        <v>0.05</v>
      </c>
      <c r="H34" s="1">
        <v>0.09</v>
      </c>
      <c r="I34" s="1">
        <v>298</v>
      </c>
      <c r="J34" s="2">
        <v>3.6000000000000002E-4</v>
      </c>
      <c r="K34" s="1">
        <f t="shared" si="5"/>
        <v>-3.4436974992327127</v>
      </c>
      <c r="L34" s="1">
        <v>0.28999999999999998</v>
      </c>
      <c r="M34" s="1">
        <v>0</v>
      </c>
      <c r="N34" s="1">
        <v>0</v>
      </c>
      <c r="O34" s="1">
        <v>0</v>
      </c>
      <c r="P34" s="1">
        <v>32</v>
      </c>
      <c r="Q34" s="1">
        <v>2.0099999999999998</v>
      </c>
      <c r="R34" s="1">
        <v>0.53</v>
      </c>
      <c r="S34" s="1">
        <v>58</v>
      </c>
      <c r="T34" s="1">
        <v>3.8719999999999999</v>
      </c>
      <c r="U34" s="1">
        <f t="shared" si="6"/>
        <v>3.8719999999999999</v>
      </c>
      <c r="V34" s="2"/>
      <c r="W34" s="2"/>
      <c r="X34" s="2"/>
      <c r="Y34" s="2"/>
      <c r="Z34" s="2"/>
      <c r="AA34" s="2"/>
    </row>
    <row r="35" spans="1:27">
      <c r="A35" s="1">
        <v>0.36</v>
      </c>
      <c r="B35" s="1">
        <v>0.55000000000000004</v>
      </c>
      <c r="C35" s="1">
        <v>0.95</v>
      </c>
      <c r="D35" s="1">
        <v>3</v>
      </c>
      <c r="E35" s="1">
        <v>1</v>
      </c>
      <c r="F35" s="1">
        <f>A35*6.941+B35*138.91+C35*47.867+D35*16+Sheet4!A35*87.62+Sheet4!B35*40.078+Sheet4!C35*26.982+Sheet4!D35*114.82+Sheet4!E35*58.993+Sheet4!F35*19+Sheet4!G35*23+Sheet4!H35*50.942+Sheet4!I35*92.906+Sheet4!J35*144.24+Sheet4!K35*107.87+Sheet4!L35*180.95+Sheet4!M35*91.224+Sheet4!N35*178.49</f>
        <v>172.37290999999999</v>
      </c>
      <c r="G35" s="1">
        <f>Sheet4!A35+Sheet4!C35+Sheet4!D35+Sheet4!E35+Sheet4!F35+Sheet4!G35+Sheet4!H35+Sheet4!I35+Sheet4!J35+Sheet4!K35+Sheet4!L35+Sheet4!M35+Sheet4!N35+Sheet4!O35+Sheet4!P35+Sheet4!Q35+Sheet4!R35+Sheet4!S35</f>
        <v>0.05</v>
      </c>
      <c r="H35" s="1">
        <v>0.09</v>
      </c>
      <c r="I35" s="1">
        <v>298</v>
      </c>
      <c r="J35" s="2">
        <v>5.1999999999999997E-5</v>
      </c>
      <c r="K35" s="1">
        <f t="shared" si="5"/>
        <v>-4.2839966563652006</v>
      </c>
      <c r="L35" s="1">
        <v>0.28000000000000003</v>
      </c>
      <c r="M35" s="1">
        <v>0</v>
      </c>
      <c r="N35" s="1">
        <v>0</v>
      </c>
      <c r="O35" s="1">
        <v>0</v>
      </c>
      <c r="P35" s="1">
        <v>44</v>
      </c>
      <c r="Q35" s="1">
        <v>2.2000000000000002</v>
      </c>
      <c r="R35" s="1">
        <v>0.62</v>
      </c>
      <c r="S35" s="1">
        <v>58.3</v>
      </c>
      <c r="T35" s="1">
        <v>3.8769999999999998</v>
      </c>
      <c r="U35" s="1">
        <f t="shared" si="6"/>
        <v>3.8769999999999998</v>
      </c>
      <c r="V35" s="2"/>
      <c r="W35" s="2"/>
      <c r="X35" s="2"/>
      <c r="Y35" s="2"/>
      <c r="Z35" s="2"/>
      <c r="AA35" s="2"/>
    </row>
    <row r="36" spans="1:27">
      <c r="A36" s="1">
        <v>0.36</v>
      </c>
      <c r="B36" s="1">
        <v>0.51</v>
      </c>
      <c r="C36" s="1">
        <v>0.95</v>
      </c>
      <c r="D36" s="1">
        <v>3</v>
      </c>
      <c r="E36" s="1">
        <v>1</v>
      </c>
      <c r="F36" s="1">
        <f>A36*6.941+B36*138.91+C36*47.867+D36*16+Sheet4!A36*87.62+Sheet4!B36*40.078+Sheet4!C36*26.982+Sheet4!D36*114.82+Sheet4!E36*58.993+Sheet4!F36*19+Sheet4!G36*23+Sheet4!H36*50.942+Sheet4!I36*92.906+Sheet4!J36*144.24+Sheet4!K36*107.87+Sheet4!L36*180.95+Sheet4!M36*91.224+Sheet4!N36*178.49</f>
        <v>166.81650999999999</v>
      </c>
      <c r="G36" s="1">
        <f>Sheet4!A36+Sheet4!C36+Sheet4!D36+Sheet4!E36+Sheet4!F36+Sheet4!G36+Sheet4!H36+Sheet4!I36+Sheet4!J36+Sheet4!K36+Sheet4!L36+Sheet4!M36+Sheet4!N36+Sheet4!O36+Sheet4!P36+Sheet4!Q36+Sheet4!R36+Sheet4!S36</f>
        <v>0.1</v>
      </c>
      <c r="H36" s="1">
        <v>0.13</v>
      </c>
      <c r="I36" s="1">
        <v>298</v>
      </c>
      <c r="J36" s="2">
        <v>7.2999999999999996E-4</v>
      </c>
      <c r="K36" s="1">
        <f t="shared" si="5"/>
        <v>-3.1366771398795441</v>
      </c>
      <c r="L36" s="1">
        <v>0.27</v>
      </c>
      <c r="M36" s="1">
        <v>0</v>
      </c>
      <c r="N36" s="1">
        <v>0</v>
      </c>
      <c r="O36" s="1">
        <v>0</v>
      </c>
      <c r="P36" s="1">
        <v>74</v>
      </c>
      <c r="Q36" s="1">
        <v>2.36</v>
      </c>
      <c r="R36" s="1">
        <v>0.66</v>
      </c>
      <c r="S36" s="1">
        <v>58.3</v>
      </c>
      <c r="T36" s="1">
        <v>3.8769999999999998</v>
      </c>
      <c r="U36" s="1">
        <f t="shared" si="6"/>
        <v>3.8769999999999998</v>
      </c>
      <c r="V36" s="2"/>
      <c r="W36" s="2"/>
      <c r="X36" s="2"/>
      <c r="Y36" s="2"/>
      <c r="Z36" s="2"/>
      <c r="AA36" s="2"/>
    </row>
    <row r="37" spans="1:27">
      <c r="A37" s="1">
        <v>0.36</v>
      </c>
      <c r="B37" s="1">
        <v>0.55000000000000004</v>
      </c>
      <c r="C37" s="1">
        <v>0.9</v>
      </c>
      <c r="D37" s="1">
        <v>3</v>
      </c>
      <c r="E37" s="1">
        <v>1</v>
      </c>
      <c r="F37" s="1">
        <f>A37*6.941+B37*138.91+C37*47.867+D37*16+Sheet4!A37*87.62+Sheet4!B37*40.078+Sheet4!C37*26.982+Sheet4!D37*114.82+Sheet4!E37*58.993+Sheet4!F37*19+Sheet4!G37*23+Sheet4!H37*50.942+Sheet4!I37*92.906+Sheet4!J37*144.24+Sheet4!K37*107.87+Sheet4!L37*180.95+Sheet4!M37*91.224+Sheet4!N37*178.49</f>
        <v>169.97956000000002</v>
      </c>
      <c r="G37" s="1">
        <f>Sheet4!A37+Sheet4!C37+Sheet4!D37+Sheet4!E37+Sheet4!F37+Sheet4!G37+Sheet4!H37+Sheet4!I37+Sheet4!J37+Sheet4!K37+Sheet4!L37+Sheet4!M37+Sheet4!N37+Sheet4!O37+Sheet4!P37+Sheet4!Q37+Sheet4!R37+Sheet4!S37</f>
        <v>0</v>
      </c>
      <c r="H37" s="1">
        <v>0.16</v>
      </c>
      <c r="I37" s="1">
        <v>298</v>
      </c>
      <c r="J37" s="2">
        <v>4.4000000000000002E-4</v>
      </c>
      <c r="K37" s="1">
        <f t="shared" si="5"/>
        <v>-3.3565473235138126</v>
      </c>
      <c r="L37" s="1">
        <v>0.27</v>
      </c>
      <c r="M37" s="1">
        <v>0</v>
      </c>
      <c r="N37" s="1">
        <v>0</v>
      </c>
      <c r="O37" s="1">
        <v>0</v>
      </c>
      <c r="P37" s="1">
        <v>74</v>
      </c>
      <c r="Q37" s="1">
        <v>2.36</v>
      </c>
      <c r="R37" s="1">
        <v>0.66</v>
      </c>
      <c r="S37" s="1">
        <v>116.6</v>
      </c>
      <c r="T37" s="1">
        <v>3.8839999999999999</v>
      </c>
      <c r="U37" s="1">
        <v>7.77</v>
      </c>
      <c r="V37" s="2"/>
      <c r="W37" s="2"/>
      <c r="X37" s="2"/>
      <c r="Y37" s="2"/>
      <c r="Z37" s="2"/>
      <c r="AA37" s="2"/>
    </row>
    <row r="38" spans="1:27">
      <c r="A38" s="1">
        <v>0.36</v>
      </c>
      <c r="B38" s="1">
        <v>0.55000000000000004</v>
      </c>
      <c r="C38" s="1">
        <v>0.995</v>
      </c>
      <c r="D38" s="1">
        <v>3</v>
      </c>
      <c r="E38" s="1">
        <v>1</v>
      </c>
      <c r="F38" s="1">
        <f>A38*6.941+B38*138.91+C38*47.867+D38*16+Sheet4!A38*87.62+Sheet4!B38*40.078+Sheet4!C38*26.982+Sheet4!D38*114.82+Sheet4!E38*58.993+Sheet4!F38*19+Sheet4!G38*23+Sheet4!H38*50.942+Sheet4!I38*92.906+Sheet4!J38*144.24+Sheet4!K38*107.87+Sheet4!L38*180.95+Sheet4!M38*91.224+Sheet4!N38*178.49</f>
        <v>174.661835</v>
      </c>
      <c r="G38" s="1">
        <f>Sheet4!A38+Sheet4!C38+Sheet4!D38+Sheet4!E38+Sheet4!F38+Sheet4!G38+Sheet4!H38+Sheet4!I38+Sheet4!J38+Sheet4!K38+Sheet4!L38+Sheet4!M38+Sheet4!N38+Sheet4!O38+Sheet4!P38+Sheet4!Q38+Sheet4!R38+Sheet4!S38</f>
        <v>5.0000000000000001E-3</v>
      </c>
      <c r="H38" s="1">
        <v>0.09</v>
      </c>
      <c r="I38" s="1">
        <v>298</v>
      </c>
      <c r="J38" s="2">
        <v>1.1000000000000001E-3</v>
      </c>
      <c r="K38" s="1">
        <f t="shared" si="5"/>
        <v>-2.9586073148417751</v>
      </c>
      <c r="L38" s="1">
        <v>0.28000000000000003</v>
      </c>
      <c r="M38" s="1">
        <v>0</v>
      </c>
      <c r="N38" s="1">
        <v>0</v>
      </c>
      <c r="O38" s="1">
        <v>0</v>
      </c>
      <c r="P38" s="1">
        <v>13</v>
      </c>
      <c r="Q38" s="1">
        <v>1.61</v>
      </c>
      <c r="R38" s="1">
        <v>0.53500000000000003</v>
      </c>
      <c r="S38" s="1">
        <v>58</v>
      </c>
      <c r="T38" s="1">
        <v>3.87</v>
      </c>
      <c r="U38" s="1">
        <f>T38</f>
        <v>3.87</v>
      </c>
      <c r="V38" s="2"/>
      <c r="W38" s="2"/>
      <c r="X38" s="2"/>
      <c r="Y38" s="2"/>
      <c r="Z38" s="2"/>
      <c r="AA38" s="2"/>
    </row>
    <row r="39" spans="1:27">
      <c r="A39" s="1">
        <v>0.36</v>
      </c>
      <c r="B39" s="1">
        <v>0.55000000000000004</v>
      </c>
      <c r="C39" s="1">
        <v>0.995</v>
      </c>
      <c r="D39" s="1">
        <v>3</v>
      </c>
      <c r="E39" s="1">
        <v>1</v>
      </c>
      <c r="F39" s="1">
        <f>A39*6.941+B39*138.91+C39*47.867+D39*16+Sheet4!A39*87.62+Sheet4!B39*40.078+Sheet4!C39*26.982+Sheet4!D39*114.82+Sheet4!E39*58.993+Sheet4!F39*19+Sheet4!G39*23+Sheet4!H39*50.942+Sheet4!I39*92.906+Sheet4!J39*144.24+Sheet4!K39*107.87+Sheet4!L39*180.95+Sheet4!M39*91.224+Sheet4!N39*178.49</f>
        <v>174.74278100000001</v>
      </c>
      <c r="G39" s="1">
        <f>Sheet4!A39+Sheet4!C39+Sheet4!D39+Sheet4!E39+Sheet4!F39+Sheet4!G39+Sheet4!H39+Sheet4!I39+Sheet4!J39+Sheet4!K39+Sheet4!L39+Sheet4!M39+Sheet4!N39+Sheet4!O39+Sheet4!P39+Sheet4!Q39+Sheet4!R39+Sheet4!S39</f>
        <v>8.0000000000000002E-3</v>
      </c>
      <c r="H39" s="1">
        <v>0.09</v>
      </c>
      <c r="I39" s="1">
        <v>298</v>
      </c>
      <c r="J39" s="2">
        <v>6.4999999999999997E-4</v>
      </c>
      <c r="K39" s="1">
        <f t="shared" si="5"/>
        <v>-3.1870866433571443</v>
      </c>
      <c r="L39" s="1">
        <v>0.28999999999999998</v>
      </c>
      <c r="M39" s="1">
        <v>0</v>
      </c>
      <c r="N39" s="1">
        <v>0</v>
      </c>
      <c r="O39" s="1">
        <v>0</v>
      </c>
      <c r="P39" s="1">
        <v>13</v>
      </c>
      <c r="Q39" s="1">
        <v>1.61</v>
      </c>
      <c r="R39" s="1">
        <v>0.53500000000000003</v>
      </c>
      <c r="S39" s="1">
        <v>57.8</v>
      </c>
      <c r="T39" s="1">
        <v>3.8679999999999999</v>
      </c>
      <c r="U39" s="1">
        <f>T39</f>
        <v>3.8679999999999999</v>
      </c>
      <c r="V39" s="2"/>
      <c r="W39" s="2"/>
      <c r="X39" s="2"/>
      <c r="Y39" s="2"/>
      <c r="Z39" s="2"/>
      <c r="AA39" s="2"/>
    </row>
    <row r="40" spans="1:27">
      <c r="A40" s="1">
        <v>0.36</v>
      </c>
      <c r="B40" s="1">
        <v>0.54</v>
      </c>
      <c r="C40" s="1">
        <v>0.995</v>
      </c>
      <c r="D40" s="1">
        <v>3</v>
      </c>
      <c r="E40" s="1">
        <v>1</v>
      </c>
      <c r="F40" s="1">
        <f>A40*6.941+B40*138.91+C40*47.867+D40*16+Sheet4!A40*87.62+Sheet4!B40*40.078+Sheet4!C40*26.982+Sheet4!D40*114.82+Sheet4!E40*58.993+Sheet4!F40*19+Sheet4!G40*23+Sheet4!H40*50.942+Sheet4!I40*92.906+Sheet4!J40*144.24+Sheet4!K40*107.87+Sheet4!L40*180.95+Sheet4!M40*91.224+Sheet4!N40*178.49</f>
        <v>173.13782500000002</v>
      </c>
      <c r="G40" s="1">
        <f>Sheet4!A40+Sheet4!C40+Sheet4!D40+Sheet4!E40+Sheet4!F40+Sheet4!G40+Sheet4!H40+Sheet4!I40+Sheet4!J40+Sheet4!K40+Sheet4!L40+Sheet4!M40+Sheet4!N40+Sheet4!O40+Sheet4!P40+Sheet4!Q40+Sheet4!R40+Sheet4!S40</f>
        <v>5.0000000000000001E-3</v>
      </c>
      <c r="H40" s="1">
        <v>0.1</v>
      </c>
      <c r="I40" s="1">
        <v>298</v>
      </c>
      <c r="J40" s="2">
        <v>2.5999999999999998E-4</v>
      </c>
      <c r="K40" s="1">
        <f t="shared" si="5"/>
        <v>-3.5850266520291822</v>
      </c>
      <c r="L40" s="1">
        <v>0.3</v>
      </c>
      <c r="M40" s="1">
        <v>0</v>
      </c>
      <c r="N40" s="1">
        <v>0</v>
      </c>
      <c r="O40" s="1">
        <v>0</v>
      </c>
      <c r="P40" s="1">
        <v>74</v>
      </c>
      <c r="Q40" s="1">
        <v>2.36</v>
      </c>
      <c r="R40" s="1">
        <v>0.66</v>
      </c>
      <c r="S40" s="1">
        <v>58.4</v>
      </c>
      <c r="T40" s="1">
        <v>3.88</v>
      </c>
      <c r="U40" s="1">
        <f>T40</f>
        <v>3.88</v>
      </c>
      <c r="V40" s="2"/>
      <c r="W40" s="2"/>
      <c r="X40" s="2"/>
      <c r="Y40" s="2"/>
      <c r="Z40" s="2"/>
      <c r="AA40" s="2"/>
    </row>
    <row r="41" spans="1:27">
      <c r="A41" s="1">
        <v>0.36</v>
      </c>
      <c r="B41" s="1">
        <v>0.55000000000000004</v>
      </c>
      <c r="C41" s="1">
        <v>0.95</v>
      </c>
      <c r="D41" s="1">
        <v>3</v>
      </c>
      <c r="E41" s="1">
        <v>0</v>
      </c>
      <c r="F41" s="1">
        <f>A41*6.941+B41*138.91+C41*47.867+D41*16+Sheet4!A41*87.62+Sheet4!B41*40.078+Sheet4!C41*26.982+Sheet4!D41*114.82+Sheet4!E41*58.993+Sheet4!F41*19+Sheet4!G41*23+Sheet4!H41*50.942+Sheet4!I41*92.906+Sheet4!J41*144.24+Sheet4!K41*107.87+Sheet4!L41*180.95+Sheet4!M41*91.224+Sheet4!N41*178.49</f>
        <v>172.37290999999999</v>
      </c>
      <c r="G41" s="1">
        <f>Sheet4!A41+Sheet4!C41+Sheet4!D41+Sheet4!E41+Sheet4!F41+Sheet4!G41+Sheet4!H41+Sheet4!I41+Sheet4!J41+Sheet4!K41+Sheet4!L41+Sheet4!M41+Sheet4!N41+Sheet4!O41+Sheet4!P41+Sheet4!Q41+Sheet4!R41+Sheet4!S41</f>
        <v>0</v>
      </c>
      <c r="H41" s="1">
        <v>0.09</v>
      </c>
      <c r="I41" s="1">
        <v>298</v>
      </c>
      <c r="J41" s="2">
        <v>8.8999999999999995E-4</v>
      </c>
      <c r="K41" s="1">
        <f t="shared" si="5"/>
        <v>-3.0506099933550872</v>
      </c>
      <c r="L41" s="1">
        <v>0.28999999999999998</v>
      </c>
      <c r="M41" s="1">
        <v>0</v>
      </c>
      <c r="N41" s="1">
        <v>0</v>
      </c>
      <c r="O41" s="1">
        <v>0</v>
      </c>
      <c r="P41" s="1">
        <v>22</v>
      </c>
      <c r="Q41" s="1">
        <v>1.54</v>
      </c>
      <c r="R41" s="1">
        <v>0.60499999999999998</v>
      </c>
      <c r="S41" s="1">
        <v>57.9</v>
      </c>
      <c r="T41" s="1">
        <v>3.8690000000000002</v>
      </c>
      <c r="U41" s="1">
        <f>T41</f>
        <v>3.8690000000000002</v>
      </c>
      <c r="V41" s="2"/>
      <c r="W41" s="2"/>
      <c r="X41" s="2"/>
      <c r="Y41" s="2"/>
      <c r="Z41" s="2"/>
      <c r="AA41" s="2"/>
    </row>
    <row r="42" spans="1:27">
      <c r="A42" s="1">
        <v>0.49</v>
      </c>
      <c r="B42" s="1">
        <v>0.56000000000000005</v>
      </c>
      <c r="C42" s="1">
        <v>0.95</v>
      </c>
      <c r="D42" s="1">
        <v>3</v>
      </c>
      <c r="E42" s="1">
        <v>1</v>
      </c>
      <c r="F42" s="1">
        <f>A42*6.941+B42*138.91+C42*47.867+D42*16+Sheet4!A42*87.62+Sheet4!B42*40.078+Sheet4!C42*26.982+Sheet4!D42*114.82+Sheet4!E42*58.993+Sheet4!F42*19+Sheet4!G42*23+Sheet4!H42*50.942+Sheet4!I42*92.906+Sheet4!J42*144.24+Sheet4!K42*107.87+Sheet4!L42*180.95+Sheet4!M42*91.224+Sheet4!N42*178.49</f>
        <v>174.66433999999998</v>
      </c>
      <c r="G42" s="1">
        <f>Sheet4!A42+Sheet4!C42+Sheet4!D42+Sheet4!E42+Sheet4!F42+Sheet4!G42+Sheet4!H42+Sheet4!I42+Sheet4!J42+Sheet4!K42+Sheet4!L42+Sheet4!M42+Sheet4!N42+Sheet4!O42+Sheet4!P42+Sheet4!Q42+Sheet4!R42+Sheet4!S42</f>
        <v>0.05</v>
      </c>
      <c r="H42" s="1">
        <v>0</v>
      </c>
      <c r="I42" s="1">
        <v>298</v>
      </c>
      <c r="J42" s="2">
        <v>1.2E-5</v>
      </c>
      <c r="K42" s="1">
        <f t="shared" si="5"/>
        <v>-4.9208187539523749</v>
      </c>
      <c r="M42" s="1">
        <v>0</v>
      </c>
      <c r="N42" s="1">
        <v>0</v>
      </c>
      <c r="O42" s="1">
        <v>0</v>
      </c>
      <c r="P42" s="1">
        <v>32</v>
      </c>
      <c r="Q42" s="1">
        <v>2.0099999999999998</v>
      </c>
      <c r="R42" s="1">
        <v>0.53</v>
      </c>
      <c r="S42" s="1">
        <f>T42^3</f>
        <v>512.96060012500016</v>
      </c>
      <c r="T42" s="1">
        <v>8.0050000000000008</v>
      </c>
      <c r="U42" s="1">
        <v>8.0050000000000008</v>
      </c>
      <c r="V42" s="3" t="s">
        <v>6</v>
      </c>
      <c r="W42" s="2"/>
      <c r="X42" s="2"/>
      <c r="Y42" s="2"/>
      <c r="Z42" s="2"/>
      <c r="AA42" s="2"/>
    </row>
    <row r="43" spans="1:27">
      <c r="A43" s="1">
        <v>0.53</v>
      </c>
      <c r="B43" s="1">
        <v>0.56000000000000005</v>
      </c>
      <c r="C43" s="1">
        <v>0.92</v>
      </c>
      <c r="D43" s="1">
        <v>3</v>
      </c>
      <c r="E43" s="1">
        <v>1</v>
      </c>
      <c r="F43" s="1">
        <f>A43*6.941+B43*138.91+C43*47.867+D43*16+Sheet4!A43*87.62+Sheet4!B43*40.078+Sheet4!C43*26.982+Sheet4!D43*114.82+Sheet4!E43*58.993+Sheet4!F43*19+Sheet4!G43*23+Sheet4!H43*50.942+Sheet4!I43*92.906+Sheet4!J43*144.24+Sheet4!K43*107.87+Sheet4!L43*180.95+Sheet4!M43*91.224+Sheet4!N43*178.49</f>
        <v>173.50596999999999</v>
      </c>
      <c r="G43" s="1">
        <f>Sheet4!A43+Sheet4!C43+Sheet4!D43+Sheet4!E43+Sheet4!F43+Sheet4!G43+Sheet4!H43+Sheet4!I43+Sheet4!J43+Sheet4!K43+Sheet4!L43+Sheet4!M43+Sheet4!N43+Sheet4!O43+Sheet4!P43+Sheet4!Q43+Sheet4!R43+Sheet4!S43</f>
        <v>0.08</v>
      </c>
      <c r="H43" s="1">
        <v>0</v>
      </c>
      <c r="I43" s="1">
        <v>298</v>
      </c>
      <c r="J43" s="2">
        <v>1.0000000000000001E-5</v>
      </c>
      <c r="K43" s="1">
        <f t="shared" si="5"/>
        <v>-5</v>
      </c>
      <c r="M43" s="1">
        <v>0</v>
      </c>
      <c r="N43" s="1">
        <v>0</v>
      </c>
      <c r="O43" s="1">
        <v>0</v>
      </c>
      <c r="P43" s="1">
        <v>32</v>
      </c>
      <c r="Q43" s="1">
        <v>2.0099999999999998</v>
      </c>
      <c r="R43" s="1">
        <v>0.53</v>
      </c>
      <c r="S43" s="1">
        <f>T43^3</f>
        <v>413.49362500000007</v>
      </c>
      <c r="T43" s="1">
        <v>7.45</v>
      </c>
      <c r="U43" s="1">
        <v>7.45</v>
      </c>
      <c r="V43" s="2"/>
      <c r="W43" s="2"/>
      <c r="X43" s="2"/>
      <c r="Y43" s="2"/>
      <c r="Z43" s="2"/>
      <c r="AA43" s="2"/>
    </row>
    <row r="44" spans="1:27">
      <c r="A44" s="1">
        <v>0.33</v>
      </c>
      <c r="B44" s="1">
        <v>0.56000000000000005</v>
      </c>
      <c r="C44" s="1">
        <v>0.9</v>
      </c>
      <c r="D44" s="1">
        <v>3</v>
      </c>
      <c r="E44" s="1">
        <v>1</v>
      </c>
      <c r="F44" s="1">
        <f>A44*6.941+B44*138.91+C44*47.867+D44*16+Sheet4!A44*87.62+Sheet4!B44*40.078+Sheet4!C44*26.982+Sheet4!D44*114.82+Sheet4!E44*58.993+Sheet4!F44*19+Sheet4!G44*23+Sheet4!H44*50.942+Sheet4!I44*92.906+Sheet4!J44*144.24+Sheet4!K44*107.87+Sheet4!L44*180.95+Sheet4!M44*91.224+Sheet4!N44*178.49</f>
        <v>171.16043000000002</v>
      </c>
      <c r="G44" s="1">
        <f>Sheet4!A44+Sheet4!C44+Sheet4!D44+Sheet4!E44+Sheet4!F44+Sheet4!G44+Sheet4!H44+Sheet4!I44+Sheet4!J44+Sheet4!K44+Sheet4!L44+Sheet4!M44+Sheet4!N44+Sheet4!O44+Sheet4!P44+Sheet4!Q44+Sheet4!R44+Sheet4!S44</f>
        <v>0.1</v>
      </c>
      <c r="H44" s="1">
        <v>0</v>
      </c>
      <c r="I44" s="1">
        <v>298</v>
      </c>
      <c r="J44" s="2">
        <v>6.3E-5</v>
      </c>
      <c r="K44" s="1">
        <f t="shared" si="5"/>
        <v>-4.2006594505464179</v>
      </c>
      <c r="M44" s="1">
        <v>0</v>
      </c>
      <c r="N44" s="1">
        <v>0</v>
      </c>
      <c r="O44" s="1">
        <v>0</v>
      </c>
      <c r="P44" s="1">
        <v>32</v>
      </c>
      <c r="Q44" s="1">
        <v>2.0099999999999998</v>
      </c>
      <c r="R44" s="1">
        <v>0.53</v>
      </c>
      <c r="S44" s="1">
        <f>T44^3</f>
        <v>399.98974003200004</v>
      </c>
      <c r="T44" s="1">
        <v>7.3680000000000003</v>
      </c>
      <c r="U44" s="1">
        <v>7.3680000000000003</v>
      </c>
      <c r="V44" s="2"/>
      <c r="W44" s="2"/>
      <c r="X44" s="2"/>
      <c r="Y44" s="2"/>
      <c r="Z44" s="2"/>
      <c r="AA44" s="2"/>
    </row>
    <row r="45" spans="1:27">
      <c r="A45" s="1">
        <v>0.33</v>
      </c>
      <c r="B45" s="1">
        <v>0.33</v>
      </c>
      <c r="C45" s="1">
        <v>0.99</v>
      </c>
      <c r="D45" s="1">
        <v>2.99</v>
      </c>
      <c r="E45" s="1">
        <v>2</v>
      </c>
      <c r="F45" s="1">
        <f>A45*6.941+B45*138.91+C45*47.867+D45*16+Sheet4!A45*87.62+Sheet4!B45*40.078+Sheet4!C45*26.982+Sheet4!D45*114.82+Sheet4!E45*58.993+Sheet4!F45*19+Sheet4!G45*23+Sheet4!H45*50.942+Sheet4!I45*92.906+Sheet4!J45*144.24+Sheet4!K45*107.87+Sheet4!L45*180.95+Sheet4!M45*91.224+Sheet4!N45*178.49</f>
        <v>143.81898000000001</v>
      </c>
      <c r="G45" s="1">
        <f>Sheet4!A45+Sheet4!C45+Sheet4!D45+Sheet4!E45+Sheet4!F45+Sheet4!G45+Sheet4!H45+Sheet4!I45+Sheet4!J45+Sheet4!K45+Sheet4!L45+Sheet4!M45+Sheet4!N45+Sheet4!O45+Sheet4!P45+Sheet4!Q45+Sheet4!R45+Sheet4!S45</f>
        <v>0.02</v>
      </c>
      <c r="H45" s="1">
        <v>0.11</v>
      </c>
      <c r="I45" s="1">
        <v>298</v>
      </c>
      <c r="J45" s="2">
        <v>3.6000000000000002E-4</v>
      </c>
      <c r="K45" s="1">
        <f t="shared" si="5"/>
        <v>-3.4436974992327127</v>
      </c>
      <c r="L45" s="1">
        <f>26.7/96.48</f>
        <v>0.27674129353233828</v>
      </c>
      <c r="M45" s="1">
        <v>0</v>
      </c>
      <c r="N45" s="1">
        <v>0</v>
      </c>
      <c r="O45" s="1">
        <v>0</v>
      </c>
      <c r="P45" s="1">
        <v>13</v>
      </c>
      <c r="Q45" s="1">
        <v>1.61</v>
      </c>
      <c r="R45" s="1">
        <v>0.53500000000000003</v>
      </c>
      <c r="S45" s="1">
        <v>116.17</v>
      </c>
      <c r="T45" s="1">
        <v>3.8700999999999999</v>
      </c>
      <c r="U45" s="1">
        <v>7.7560000000000002</v>
      </c>
      <c r="V45" s="3" t="s">
        <v>63</v>
      </c>
      <c r="W45" s="2"/>
      <c r="X45" s="2"/>
      <c r="Y45" s="2"/>
      <c r="Z45" s="2"/>
      <c r="AA45" s="2"/>
    </row>
    <row r="46" spans="1:27">
      <c r="A46" s="1">
        <v>0.33</v>
      </c>
      <c r="B46" s="1">
        <v>0.33</v>
      </c>
      <c r="C46" s="1">
        <v>0.98</v>
      </c>
      <c r="D46" s="1">
        <v>2.98</v>
      </c>
      <c r="E46" s="1">
        <v>2</v>
      </c>
      <c r="F46" s="1">
        <f>A46*6.941+B46*138.91+C46*47.867+D46*16+Sheet4!A46*87.62+Sheet4!B46*40.078+Sheet4!C46*26.982+Sheet4!D46*114.82+Sheet4!E46*58.993+Sheet4!F46*19+Sheet4!G46*23+Sheet4!H46*50.942+Sheet4!I46*92.906+Sheet4!J46*144.24+Sheet4!K46*107.87+Sheet4!L46*180.95+Sheet4!M46*91.224+Sheet4!N46*178.49</f>
        <v>143.64012999999997</v>
      </c>
      <c r="G46" s="1">
        <f>Sheet4!A46+Sheet4!C46+Sheet4!D46+Sheet4!E46+Sheet4!F46+Sheet4!G46+Sheet4!H46+Sheet4!I46+Sheet4!J46+Sheet4!K46+Sheet4!L46+Sheet4!M46+Sheet4!N46+Sheet4!O46+Sheet4!P46+Sheet4!Q46+Sheet4!R46+Sheet4!S46</f>
        <v>0.04</v>
      </c>
      <c r="H46" s="1">
        <v>0.11</v>
      </c>
      <c r="I46" s="1">
        <v>298</v>
      </c>
      <c r="J46" s="2">
        <v>9.7999999999999997E-4</v>
      </c>
      <c r="K46" s="1">
        <f t="shared" si="5"/>
        <v>-3.0087739243075053</v>
      </c>
      <c r="L46" s="1">
        <f>24.1/96.48</f>
        <v>0.24979270315091212</v>
      </c>
      <c r="M46" s="1">
        <v>0</v>
      </c>
      <c r="N46" s="1">
        <v>0</v>
      </c>
      <c r="O46" s="1">
        <v>0</v>
      </c>
      <c r="P46" s="1">
        <v>13</v>
      </c>
      <c r="Q46" s="1">
        <v>1.61</v>
      </c>
      <c r="R46" s="1">
        <v>0.53500000000000003</v>
      </c>
      <c r="S46" s="1">
        <v>116.04</v>
      </c>
      <c r="T46" s="1">
        <v>3.8696999999999999</v>
      </c>
      <c r="U46" s="1">
        <v>7.7489999999999997</v>
      </c>
      <c r="V46" s="2"/>
      <c r="W46" s="2"/>
      <c r="X46" s="2"/>
      <c r="Y46" s="2"/>
      <c r="Z46" s="2"/>
      <c r="AA46" s="2"/>
    </row>
    <row r="47" spans="1:27">
      <c r="A47" s="1">
        <v>0.33</v>
      </c>
      <c r="B47" s="1">
        <v>0.33</v>
      </c>
      <c r="C47" s="1">
        <v>0.97</v>
      </c>
      <c r="D47" s="1">
        <v>2.97</v>
      </c>
      <c r="E47" s="1">
        <v>2</v>
      </c>
      <c r="F47" s="1">
        <f>A47*6.941+B47*138.91+C47*47.867+D47*16+Sheet4!A47*87.62+Sheet4!B47*40.078+Sheet4!C47*26.982+Sheet4!D47*114.82+Sheet4!E47*58.993+Sheet4!F47*19+Sheet4!G47*23+Sheet4!H47*50.942+Sheet4!I47*92.906+Sheet4!J47*144.24+Sheet4!K47*107.87+Sheet4!L47*180.95+Sheet4!M47*91.224+Sheet4!N47*178.49</f>
        <v>143.46127999999999</v>
      </c>
      <c r="G47" s="1">
        <f>Sheet4!A47+Sheet4!C47+Sheet4!D47+Sheet4!E47+Sheet4!F47+Sheet4!G47+Sheet4!H47+Sheet4!I47+Sheet4!J47+Sheet4!K47+Sheet4!L47+Sheet4!M47+Sheet4!N47+Sheet4!O47+Sheet4!P47+Sheet4!Q47+Sheet4!R47+Sheet4!S47</f>
        <v>0.06</v>
      </c>
      <c r="H47" s="1">
        <v>0.11</v>
      </c>
      <c r="I47" s="1">
        <v>298</v>
      </c>
      <c r="J47" s="2">
        <v>1.06E-3</v>
      </c>
      <c r="K47" s="1">
        <f t="shared" si="5"/>
        <v>-2.9746941347352296</v>
      </c>
      <c r="L47" s="1">
        <f>23.9/96.48</f>
        <v>0.24771973466003314</v>
      </c>
      <c r="M47" s="1">
        <v>0</v>
      </c>
      <c r="N47" s="1">
        <v>0</v>
      </c>
      <c r="O47" s="1">
        <v>0</v>
      </c>
      <c r="P47" s="1">
        <v>13</v>
      </c>
      <c r="Q47" s="1">
        <v>1.61</v>
      </c>
      <c r="R47" s="1">
        <v>0.53500000000000003</v>
      </c>
      <c r="S47" s="1">
        <v>115.92</v>
      </c>
      <c r="T47" s="1">
        <v>3.8692000000000002</v>
      </c>
      <c r="U47" s="1">
        <v>7.7434000000000003</v>
      </c>
      <c r="V47" s="2"/>
      <c r="W47" s="2"/>
      <c r="X47" s="2"/>
      <c r="Y47" s="2"/>
      <c r="Z47" s="2"/>
      <c r="AA47" s="2"/>
    </row>
    <row r="48" spans="1:27">
      <c r="A48" s="1">
        <v>0.33</v>
      </c>
      <c r="B48" s="1">
        <v>0.33</v>
      </c>
      <c r="C48" s="1">
        <v>0.96</v>
      </c>
      <c r="D48" s="1">
        <v>2.96</v>
      </c>
      <c r="E48" s="1">
        <v>2</v>
      </c>
      <c r="F48" s="1">
        <f>A48*6.941+B48*138.91+C48*47.867+D48*16+Sheet4!A48*87.62+Sheet4!B48*40.078+Sheet4!C48*26.982+Sheet4!D48*114.82+Sheet4!E48*58.993+Sheet4!F48*19+Sheet4!G48*23+Sheet4!H48*50.942+Sheet4!I48*92.906+Sheet4!J48*144.24+Sheet4!K48*107.87+Sheet4!L48*180.95+Sheet4!M48*91.224+Sheet4!N48*178.49</f>
        <v>143.28243000000001</v>
      </c>
      <c r="G48" s="1">
        <f>Sheet4!A48+Sheet4!C48+Sheet4!D48+Sheet4!E48+Sheet4!F48+Sheet4!G48+Sheet4!H48+Sheet4!I48+Sheet4!J48+Sheet4!K48+Sheet4!L48+Sheet4!M48+Sheet4!N48+Sheet4!O48+Sheet4!P48+Sheet4!Q48+Sheet4!R48+Sheet4!S48</f>
        <v>0.08</v>
      </c>
      <c r="H48" s="1">
        <v>0.11</v>
      </c>
      <c r="I48" s="1">
        <v>298</v>
      </c>
      <c r="J48" s="2">
        <v>9.2800000000000001E-4</v>
      </c>
      <c r="K48" s="1">
        <f t="shared" si="5"/>
        <v>-3.0324520237811381</v>
      </c>
      <c r="L48" s="1">
        <f>22.7/96.48</f>
        <v>0.23528192371475951</v>
      </c>
      <c r="M48" s="1">
        <v>0</v>
      </c>
      <c r="N48" s="1">
        <v>0</v>
      </c>
      <c r="O48" s="1">
        <v>0</v>
      </c>
      <c r="P48" s="1">
        <v>13</v>
      </c>
      <c r="Q48" s="1">
        <v>1.61</v>
      </c>
      <c r="R48" s="1">
        <v>0.53500000000000003</v>
      </c>
      <c r="S48" s="1">
        <v>115.96</v>
      </c>
      <c r="T48" s="1">
        <v>3.8696999999999999</v>
      </c>
      <c r="U48" s="1">
        <v>7.7439999999999998</v>
      </c>
      <c r="V48" s="2"/>
      <c r="W48" s="2"/>
      <c r="X48" s="2"/>
      <c r="Y48" s="2"/>
      <c r="Z48" s="2"/>
      <c r="AA48" s="2"/>
    </row>
    <row r="49" spans="1:27">
      <c r="A49" s="1">
        <v>0.33</v>
      </c>
      <c r="B49" s="1">
        <v>0.33</v>
      </c>
      <c r="C49" s="1">
        <v>0.95</v>
      </c>
      <c r="D49" s="1">
        <v>2.95</v>
      </c>
      <c r="E49" s="1">
        <v>2</v>
      </c>
      <c r="F49" s="1">
        <f>A49*6.941+B49*138.91+C49*47.867+D49*16+Sheet4!A49*87.62+Sheet4!B49*40.078+Sheet4!C49*26.982+Sheet4!D49*114.82+Sheet4!E49*58.993+Sheet4!F49*19+Sheet4!G49*23+Sheet4!H49*50.942+Sheet4!I49*92.906+Sheet4!J49*144.24+Sheet4!K49*107.87+Sheet4!L49*180.95+Sheet4!M49*91.224+Sheet4!N49*178.49</f>
        <v>143.10357999999999</v>
      </c>
      <c r="G49" s="1">
        <f>Sheet4!A49+Sheet4!C49+Sheet4!D49+Sheet4!E49+Sheet4!F49+Sheet4!G49+Sheet4!H49+Sheet4!I49+Sheet4!J49+Sheet4!K49+Sheet4!L49+Sheet4!M49+Sheet4!N49+Sheet4!O49+Sheet4!P49+Sheet4!Q49+Sheet4!R49+Sheet4!S49</f>
        <v>0.1</v>
      </c>
      <c r="H49" s="1">
        <v>0.11</v>
      </c>
      <c r="I49" s="1">
        <v>298</v>
      </c>
      <c r="J49" s="2">
        <v>6.2200000000000005E-4</v>
      </c>
      <c r="K49" s="1">
        <f t="shared" si="5"/>
        <v>-3.2062096153091812</v>
      </c>
      <c r="L49" s="1">
        <f>21.6/96.48</f>
        <v>0.22388059701492538</v>
      </c>
      <c r="M49" s="1">
        <v>0</v>
      </c>
      <c r="N49" s="1">
        <v>0</v>
      </c>
      <c r="O49" s="1">
        <v>0</v>
      </c>
      <c r="P49" s="1">
        <v>13</v>
      </c>
      <c r="Q49" s="1">
        <v>1.61</v>
      </c>
      <c r="R49" s="1">
        <v>0.53500000000000003</v>
      </c>
      <c r="S49" s="1">
        <v>115.71</v>
      </c>
      <c r="T49" s="1">
        <v>3.8666999999999998</v>
      </c>
      <c r="U49" s="1">
        <v>7.7389999999999999</v>
      </c>
      <c r="V49" s="2"/>
      <c r="W49" s="2"/>
      <c r="X49" s="2"/>
      <c r="Y49" s="2"/>
      <c r="Z49" s="2"/>
      <c r="AA49" s="2"/>
    </row>
    <row r="50" spans="1:27">
      <c r="A50" s="1">
        <v>0.33</v>
      </c>
      <c r="B50" s="1">
        <v>0.33</v>
      </c>
      <c r="C50" s="1">
        <v>0.94</v>
      </c>
      <c r="D50" s="1">
        <v>2.94</v>
      </c>
      <c r="E50" s="1">
        <v>2</v>
      </c>
      <c r="F50" s="1">
        <f>A50*6.941+B50*138.91+C50*47.867+D50*16+Sheet4!A50*87.62+Sheet4!B50*40.078+Sheet4!C50*26.982+Sheet4!D50*114.82+Sheet4!E50*58.993+Sheet4!F50*19+Sheet4!G50*23+Sheet4!H50*50.942+Sheet4!I50*92.906+Sheet4!J50*144.24+Sheet4!K50*107.87+Sheet4!L50*180.95+Sheet4!M50*91.224+Sheet4!N50*178.49</f>
        <v>142.92472999999998</v>
      </c>
      <c r="G50" s="1">
        <f>Sheet4!A50+Sheet4!C50+Sheet4!D50+Sheet4!E50+Sheet4!F50+Sheet4!G50+Sheet4!H50+Sheet4!I50+Sheet4!J50+Sheet4!K50+Sheet4!L50+Sheet4!M50+Sheet4!N50+Sheet4!O50+Sheet4!P50+Sheet4!Q50+Sheet4!R50+Sheet4!S50</f>
        <v>0.12</v>
      </c>
      <c r="H50" s="1">
        <v>0.11</v>
      </c>
      <c r="I50" s="1">
        <v>298</v>
      </c>
      <c r="J50" s="2">
        <v>1.76E-4</v>
      </c>
      <c r="K50" s="1">
        <f t="shared" si="5"/>
        <v>-3.7544873321858501</v>
      </c>
      <c r="L50" s="1">
        <f>26.4/96.48</f>
        <v>0.27363184079601988</v>
      </c>
      <c r="M50" s="1">
        <v>0</v>
      </c>
      <c r="N50" s="1">
        <v>0</v>
      </c>
      <c r="O50" s="1">
        <v>0</v>
      </c>
      <c r="P50" s="1">
        <v>13</v>
      </c>
      <c r="Q50" s="1">
        <v>1.61</v>
      </c>
      <c r="R50" s="1">
        <v>0.53500000000000003</v>
      </c>
      <c r="S50" s="1">
        <v>115.9</v>
      </c>
      <c r="T50" s="1">
        <v>3.8721999999999999</v>
      </c>
      <c r="U50" s="1">
        <v>7.73</v>
      </c>
      <c r="V50" s="2"/>
      <c r="W50" s="2"/>
      <c r="X50" s="2"/>
      <c r="Y50" s="2"/>
      <c r="Z50" s="2"/>
      <c r="AA50" s="2"/>
    </row>
    <row r="51" spans="1:27">
      <c r="A51" s="1">
        <v>0.33</v>
      </c>
      <c r="B51" s="1">
        <v>0.33</v>
      </c>
      <c r="C51" s="1">
        <v>0.93</v>
      </c>
      <c r="D51" s="1">
        <v>2.93</v>
      </c>
      <c r="E51" s="1">
        <v>2</v>
      </c>
      <c r="F51" s="1">
        <f>A51*6.941+B51*138.91+C51*47.867+D51*16+Sheet4!A51*87.62+Sheet4!B51*40.078+Sheet4!C51*26.982+Sheet4!D51*114.82+Sheet4!E51*58.993+Sheet4!F51*19+Sheet4!G51*23+Sheet4!H51*50.942+Sheet4!I51*92.906+Sheet4!J51*144.24+Sheet4!K51*107.87+Sheet4!L51*180.95+Sheet4!M51*91.224+Sheet4!N51*178.49</f>
        <v>142.74588000000003</v>
      </c>
      <c r="G51" s="1">
        <f>Sheet4!A51+Sheet4!C51+Sheet4!D51+Sheet4!E51+Sheet4!F51+Sheet4!G51+Sheet4!H51+Sheet4!I51+Sheet4!J51+Sheet4!K51+Sheet4!L51+Sheet4!M51+Sheet4!N51+Sheet4!O51+Sheet4!P51+Sheet4!Q51+Sheet4!R51+Sheet4!S51</f>
        <v>0.14000000000000001</v>
      </c>
      <c r="H51" s="1">
        <v>0.11</v>
      </c>
      <c r="I51" s="1">
        <v>298</v>
      </c>
      <c r="J51" s="2">
        <v>1.06E-4</v>
      </c>
      <c r="K51" s="1">
        <f t="shared" si="5"/>
        <v>-3.9746941347352296</v>
      </c>
      <c r="L51" s="1">
        <f>26.5/96.48</f>
        <v>0.27466832504145938</v>
      </c>
      <c r="M51" s="1">
        <v>0</v>
      </c>
      <c r="N51" s="1">
        <v>0</v>
      </c>
      <c r="O51" s="1">
        <v>0</v>
      </c>
      <c r="P51" s="1">
        <v>13</v>
      </c>
      <c r="Q51" s="1">
        <v>1.61</v>
      </c>
      <c r="R51" s="1">
        <v>0.53500000000000003</v>
      </c>
      <c r="S51" s="1">
        <v>116.06</v>
      </c>
      <c r="T51" s="1">
        <v>3.8704999999999998</v>
      </c>
      <c r="U51" s="1">
        <v>7.7476000000000003</v>
      </c>
      <c r="V51" s="2"/>
      <c r="W51" s="2"/>
      <c r="X51" s="2"/>
      <c r="Y51" s="2"/>
      <c r="Z51" s="2"/>
      <c r="AA51" s="2"/>
    </row>
    <row r="52" spans="1:27">
      <c r="A52" s="1">
        <v>0.33</v>
      </c>
      <c r="B52" s="1">
        <v>0.33</v>
      </c>
      <c r="C52" s="1">
        <v>0.92</v>
      </c>
      <c r="D52" s="1">
        <v>2.92</v>
      </c>
      <c r="E52" s="1">
        <v>2</v>
      </c>
      <c r="F52" s="1">
        <f>A52*6.941+B52*138.91+C52*47.867+D52*16+Sheet4!A52*87.62+Sheet4!B52*40.078+Sheet4!C52*26.982+Sheet4!D52*114.82+Sheet4!E52*58.993+Sheet4!F52*19+Sheet4!G52*23+Sheet4!H52*50.942+Sheet4!I52*92.906+Sheet4!J52*144.24+Sheet4!K52*107.87+Sheet4!L52*180.95+Sheet4!M52*91.224+Sheet4!N52*178.49</f>
        <v>142.56702999999999</v>
      </c>
      <c r="G52" s="1">
        <f>Sheet4!A52+Sheet4!C52+Sheet4!D52+Sheet4!E52+Sheet4!F52+Sheet4!G52+Sheet4!H52+Sheet4!I52+Sheet4!J52+Sheet4!K52+Sheet4!L52+Sheet4!M52+Sheet4!N52+Sheet4!O52+Sheet4!P52+Sheet4!Q52+Sheet4!R52+Sheet4!S52</f>
        <v>0.16</v>
      </c>
      <c r="H52" s="1">
        <v>0.11</v>
      </c>
      <c r="I52" s="1">
        <v>298</v>
      </c>
      <c r="J52" s="2">
        <v>6.4499999999999996E-4</v>
      </c>
      <c r="K52" s="1">
        <f t="shared" si="5"/>
        <v>-3.1904402853647325</v>
      </c>
      <c r="L52" s="1">
        <f>22.5/96.48</f>
        <v>0.23320895522388058</v>
      </c>
      <c r="M52" s="1">
        <v>0</v>
      </c>
      <c r="N52" s="1">
        <v>0</v>
      </c>
      <c r="O52" s="1">
        <v>0</v>
      </c>
      <c r="P52" s="1">
        <v>13</v>
      </c>
      <c r="Q52" s="1">
        <v>1.61</v>
      </c>
      <c r="R52" s="1">
        <v>0.53500000000000003</v>
      </c>
      <c r="S52" s="1">
        <v>115.95</v>
      </c>
      <c r="T52" s="1">
        <v>3.8694999999999999</v>
      </c>
      <c r="U52" s="1">
        <v>7.7436999999999996</v>
      </c>
      <c r="V52" s="2"/>
      <c r="W52" s="2"/>
      <c r="X52" s="2"/>
      <c r="Y52" s="2"/>
      <c r="Z52" s="2"/>
      <c r="AA52" s="2"/>
    </row>
    <row r="53" spans="1:27">
      <c r="A53" s="1">
        <v>0.33</v>
      </c>
      <c r="B53" s="1">
        <v>0.33</v>
      </c>
      <c r="C53" s="1">
        <v>0.91</v>
      </c>
      <c r="D53" s="1">
        <v>2.91</v>
      </c>
      <c r="E53" s="1">
        <v>2</v>
      </c>
      <c r="F53" s="1">
        <f>A53*6.941+B53*138.91+C53*47.867+D53*16+Sheet4!A53*87.62+Sheet4!B53*40.078+Sheet4!C53*26.982+Sheet4!D53*114.82+Sheet4!E53*58.993+Sheet4!F53*19+Sheet4!G53*23+Sheet4!H53*50.942+Sheet4!I53*92.906+Sheet4!J53*144.24+Sheet4!K53*107.87+Sheet4!L53*180.95+Sheet4!M53*91.224+Sheet4!N53*178.49</f>
        <v>142.38818000000001</v>
      </c>
      <c r="G53" s="1">
        <f>Sheet4!A53+Sheet4!C53+Sheet4!D53+Sheet4!E53+Sheet4!F53+Sheet4!G53+Sheet4!H53+Sheet4!I53+Sheet4!J53+Sheet4!K53+Sheet4!L53+Sheet4!M53+Sheet4!N53+Sheet4!O53+Sheet4!P53+Sheet4!Q53+Sheet4!R53+Sheet4!S53</f>
        <v>0.18</v>
      </c>
      <c r="H53" s="1">
        <v>0.11</v>
      </c>
      <c r="I53" s="1">
        <v>298</v>
      </c>
      <c r="J53" s="2">
        <v>4.9399999999999997E-4</v>
      </c>
      <c r="K53" s="1">
        <f t="shared" si="5"/>
        <v>-3.3062730510763529</v>
      </c>
      <c r="L53" s="1">
        <f>24.1/96.48</f>
        <v>0.24979270315091212</v>
      </c>
      <c r="M53" s="1">
        <v>0</v>
      </c>
      <c r="N53" s="1">
        <v>0</v>
      </c>
      <c r="O53" s="1">
        <v>0</v>
      </c>
      <c r="P53" s="1">
        <v>13</v>
      </c>
      <c r="Q53" s="1">
        <v>1.61</v>
      </c>
      <c r="R53" s="1">
        <v>0.53500000000000003</v>
      </c>
      <c r="S53" s="1">
        <v>115.96</v>
      </c>
      <c r="T53" s="1">
        <v>3.8714</v>
      </c>
      <c r="U53" s="1">
        <v>7.7370000000000001</v>
      </c>
      <c r="V53" s="2"/>
      <c r="W53" s="2"/>
      <c r="X53" s="2"/>
      <c r="Y53" s="2"/>
      <c r="Z53" s="2"/>
      <c r="AA53" s="2"/>
    </row>
    <row r="54" spans="1:27">
      <c r="A54" s="1">
        <v>0.33</v>
      </c>
      <c r="B54" s="1">
        <v>0.33</v>
      </c>
      <c r="C54" s="1">
        <v>0.9</v>
      </c>
      <c r="D54" s="1">
        <v>2.9</v>
      </c>
      <c r="E54" s="1">
        <v>2</v>
      </c>
      <c r="F54" s="1">
        <f>A54*6.941+B54*138.91+C54*47.867+D54*16+Sheet4!A54*87.62+Sheet4!B54*40.078+Sheet4!C54*26.982+Sheet4!D54*114.82+Sheet4!E54*58.993+Sheet4!F54*19+Sheet4!G54*23+Sheet4!H54*50.942+Sheet4!I54*92.906+Sheet4!J54*144.24+Sheet4!K54*107.87+Sheet4!L54*180.95+Sheet4!M54*91.224+Sheet4!N54*178.49</f>
        <v>142.20932999999999</v>
      </c>
      <c r="G54" s="1">
        <f>Sheet4!A54+Sheet4!C54+Sheet4!D54+Sheet4!E54+Sheet4!F54+Sheet4!G54+Sheet4!H54+Sheet4!I54+Sheet4!J54+Sheet4!K54+Sheet4!L54+Sheet4!M54+Sheet4!N54+Sheet4!O54+Sheet4!P54+Sheet4!Q54+Sheet4!R54+Sheet4!S54</f>
        <v>0.2</v>
      </c>
      <c r="H54" s="1">
        <v>0.11</v>
      </c>
      <c r="I54" s="1">
        <v>298</v>
      </c>
      <c r="J54" s="2">
        <v>1.0399999999999999E-4</v>
      </c>
      <c r="K54" s="1">
        <f t="shared" si="5"/>
        <v>-3.9829666607012197</v>
      </c>
      <c r="L54" s="1">
        <f>26.6/96.48</f>
        <v>0.27570480928689883</v>
      </c>
      <c r="M54" s="1">
        <v>0</v>
      </c>
      <c r="N54" s="1">
        <v>0</v>
      </c>
      <c r="O54" s="1">
        <v>0</v>
      </c>
      <c r="P54" s="1">
        <v>13</v>
      </c>
      <c r="Q54" s="1">
        <v>1.61</v>
      </c>
      <c r="R54" s="1">
        <v>0.53500000000000003</v>
      </c>
      <c r="S54" s="1">
        <f>T54*T54*U54</f>
        <v>115.32303525600001</v>
      </c>
      <c r="T54" s="1">
        <v>3.8610000000000002</v>
      </c>
      <c r="U54" s="1">
        <v>7.7359999999999998</v>
      </c>
      <c r="V54" s="2"/>
      <c r="W54" s="2"/>
      <c r="X54" s="2"/>
      <c r="Y54" s="2"/>
      <c r="Z54" s="2"/>
      <c r="AA54" s="2"/>
    </row>
    <row r="55" spans="1:27">
      <c r="A55" s="1">
        <v>0.06</v>
      </c>
      <c r="B55" s="1">
        <v>0.67</v>
      </c>
      <c r="C55" s="1">
        <f t="shared" ref="C55:C60" si="7">1-A55</f>
        <v>0.94</v>
      </c>
      <c r="D55" s="1">
        <v>3</v>
      </c>
      <c r="E55" s="1">
        <v>1</v>
      </c>
      <c r="F55" s="1">
        <f>A55*6.941+B55*138.91+C55*47.867+D55*16+Sheet4!A55*87.62+Sheet4!B55*40.078+Sheet4!C55*26.982+Sheet4!D55*114.82+Sheet4!E55*58.993+Sheet4!F55*19+Sheet4!G55*23+Sheet4!H55*50.942+Sheet4!I55*92.906+Sheet4!J55*144.24+Sheet4!K55*107.87+Sheet4!L55*180.95+Sheet4!M55*91.224+Sheet4!N55*178.49</f>
        <v>188.10005999999998</v>
      </c>
      <c r="G55" s="1">
        <f>Sheet4!A55+Sheet4!C55+Sheet4!D55+Sheet4!E55+Sheet4!F55+Sheet4!G55+Sheet4!H55+Sheet4!I55+Sheet4!J55+Sheet4!K55+Sheet4!L55+Sheet4!M55+Sheet4!N55+Sheet4!O55+Sheet4!P55+Sheet4!Q55+Sheet4!R55+Sheet4!S55</f>
        <v>0.06</v>
      </c>
      <c r="H55" s="1">
        <f t="shared" ref="H55:H60" si="8">1-A55-B55</f>
        <v>0.26999999999999991</v>
      </c>
      <c r="I55" s="1">
        <v>300</v>
      </c>
      <c r="J55" s="2">
        <v>1.6840000000000001E-6</v>
      </c>
      <c r="K55" s="1">
        <f t="shared" si="5"/>
        <v>-5.7736579128363692</v>
      </c>
      <c r="L55" s="1">
        <v>0.36</v>
      </c>
      <c r="M55" s="1">
        <v>0</v>
      </c>
      <c r="N55" s="1">
        <v>0</v>
      </c>
      <c r="O55" s="1">
        <v>0</v>
      </c>
      <c r="P55" s="1">
        <v>13</v>
      </c>
      <c r="Q55" s="1">
        <v>1.61</v>
      </c>
      <c r="R55" s="1">
        <v>0.53500000000000003</v>
      </c>
      <c r="S55" s="1">
        <f>T55*T55*U55</f>
        <v>233.31109545200002</v>
      </c>
      <c r="T55" s="1">
        <v>5.4790000000000001</v>
      </c>
      <c r="U55" s="1">
        <v>7.7720000000000002</v>
      </c>
      <c r="V55" s="7" t="s">
        <v>62</v>
      </c>
    </row>
    <row r="56" spans="1:27">
      <c r="A56" s="1">
        <v>0.1</v>
      </c>
      <c r="B56" s="1">
        <v>0.67</v>
      </c>
      <c r="C56" s="1">
        <f t="shared" si="7"/>
        <v>0.9</v>
      </c>
      <c r="D56" s="1">
        <v>3</v>
      </c>
      <c r="E56" s="1">
        <v>1</v>
      </c>
      <c r="F56" s="1">
        <f>A56*6.941+B56*138.91+C56*47.867+D56*16+Sheet4!A56*87.62+Sheet4!B56*40.078+Sheet4!C56*26.982+Sheet4!D56*114.82+Sheet4!E56*58.993+Sheet4!F56*19+Sheet4!G56*23+Sheet4!H56*50.942+Sheet4!I56*92.906+Sheet4!J56*144.24+Sheet4!K56*107.87+Sheet4!L56*180.95+Sheet4!M56*91.224+Sheet4!N56*178.49</f>
        <v>187.54230000000001</v>
      </c>
      <c r="G56" s="1">
        <f>Sheet4!A56+Sheet4!C56+Sheet4!D56+Sheet4!E56+Sheet4!F56+Sheet4!G56+Sheet4!H56+Sheet4!I56+Sheet4!J56+Sheet4!K56+Sheet4!L56+Sheet4!M56+Sheet4!N56+Sheet4!O56+Sheet4!P56+Sheet4!Q56+Sheet4!R56+Sheet4!S56</f>
        <v>0.1</v>
      </c>
      <c r="H56" s="1">
        <f t="shared" si="8"/>
        <v>0.22999999999999998</v>
      </c>
      <c r="I56" s="1">
        <v>300</v>
      </c>
      <c r="J56" s="2">
        <v>7.3359999999999997E-6</v>
      </c>
      <c r="K56" s="1">
        <f t="shared" si="5"/>
        <v>-5.1345406773380358</v>
      </c>
      <c r="L56" s="1">
        <v>0.35</v>
      </c>
      <c r="M56" s="1">
        <v>0</v>
      </c>
      <c r="N56" s="1">
        <v>0</v>
      </c>
      <c r="O56" s="1">
        <v>0</v>
      </c>
      <c r="P56" s="1">
        <v>13</v>
      </c>
      <c r="Q56" s="1">
        <v>1.61</v>
      </c>
      <c r="R56" s="1">
        <v>0.53500000000000003</v>
      </c>
      <c r="S56" s="1">
        <f t="shared" ref="S56:S60" si="9">T56*T56*U56</f>
        <v>232.89584432399997</v>
      </c>
      <c r="T56" s="1">
        <v>5.4779999999999998</v>
      </c>
      <c r="U56" s="1">
        <v>7.7610000000000001</v>
      </c>
    </row>
    <row r="57" spans="1:27">
      <c r="A57" s="1">
        <v>0.15</v>
      </c>
      <c r="B57" s="1">
        <v>0.67</v>
      </c>
      <c r="C57" s="1">
        <f t="shared" si="7"/>
        <v>0.85</v>
      </c>
      <c r="D57" s="1">
        <v>3</v>
      </c>
      <c r="E57" s="1">
        <v>1</v>
      </c>
      <c r="F57" s="1">
        <f>A57*6.941+B57*138.91+C57*47.867+D57*16+Sheet4!A57*87.62+Sheet4!B57*40.078+Sheet4!C57*26.982+Sheet4!D57*114.82+Sheet4!E57*58.993+Sheet4!F57*19+Sheet4!G57*23+Sheet4!H57*50.942+Sheet4!I57*92.906+Sheet4!J57*144.24+Sheet4!K57*107.87+Sheet4!L57*180.95+Sheet4!M57*91.224+Sheet4!N57*178.49</f>
        <v>186.8451</v>
      </c>
      <c r="G57" s="1">
        <f>Sheet4!A57+Sheet4!C57+Sheet4!D57+Sheet4!E57+Sheet4!F57+Sheet4!G57+Sheet4!H57+Sheet4!I57+Sheet4!J57+Sheet4!K57+Sheet4!L57+Sheet4!M57+Sheet4!N57+Sheet4!O57+Sheet4!P57+Sheet4!Q57+Sheet4!R57+Sheet4!S57</f>
        <v>0.15</v>
      </c>
      <c r="H57" s="1">
        <f t="shared" si="8"/>
        <v>0.17999999999999994</v>
      </c>
      <c r="I57" s="1">
        <v>300</v>
      </c>
      <c r="J57" s="2">
        <v>9.6549999999999999E-6</v>
      </c>
      <c r="K57" s="1">
        <f t="shared" si="5"/>
        <v>-5.0152477218845863</v>
      </c>
      <c r="L57" s="1">
        <v>0.36</v>
      </c>
      <c r="M57" s="1">
        <v>0</v>
      </c>
      <c r="N57" s="1">
        <v>0</v>
      </c>
      <c r="O57" s="1">
        <v>0</v>
      </c>
      <c r="P57" s="1">
        <v>13</v>
      </c>
      <c r="Q57" s="1">
        <v>1.61</v>
      </c>
      <c r="R57" s="1">
        <v>0.53500000000000003</v>
      </c>
      <c r="S57" s="1">
        <f t="shared" si="9"/>
        <v>231.17408856900002</v>
      </c>
      <c r="T57" s="1">
        <v>5.4690000000000003</v>
      </c>
      <c r="U57" s="1">
        <v>7.7290000000000001</v>
      </c>
    </row>
    <row r="58" spans="1:27">
      <c r="A58" s="1">
        <v>0.25</v>
      </c>
      <c r="B58" s="1">
        <v>0.67</v>
      </c>
      <c r="C58" s="1">
        <f t="shared" si="7"/>
        <v>0.75</v>
      </c>
      <c r="D58" s="1">
        <v>3</v>
      </c>
      <c r="E58" s="1">
        <v>1</v>
      </c>
      <c r="F58" s="1">
        <f>A58*6.941+B58*138.91+C58*47.867+D58*16+Sheet4!A58*87.62+Sheet4!B58*40.078+Sheet4!C58*26.982+Sheet4!D58*114.82+Sheet4!E58*58.993+Sheet4!F58*19+Sheet4!G58*23+Sheet4!H58*50.942+Sheet4!I58*92.906+Sheet4!J58*144.24+Sheet4!K58*107.87+Sheet4!L58*180.95+Sheet4!M58*91.224+Sheet4!N58*178.49</f>
        <v>185.45069999999998</v>
      </c>
      <c r="G58" s="1">
        <f>Sheet4!A58+Sheet4!C58+Sheet4!D58+Sheet4!E58+Sheet4!F58+Sheet4!G58+Sheet4!H58+Sheet4!I58+Sheet4!J58+Sheet4!K58+Sheet4!L58+Sheet4!M58+Sheet4!N58+Sheet4!O58+Sheet4!P58+Sheet4!Q58+Sheet4!R58+Sheet4!S58</f>
        <v>0.25</v>
      </c>
      <c r="H58" s="1">
        <f t="shared" si="8"/>
        <v>7.999999999999996E-2</v>
      </c>
      <c r="I58" s="1">
        <v>300</v>
      </c>
      <c r="J58" s="2">
        <v>4.2799999999999997E-5</v>
      </c>
      <c r="K58" s="1">
        <f t="shared" si="5"/>
        <v>-4.3685562309868278</v>
      </c>
      <c r="L58" s="1">
        <v>0.33</v>
      </c>
      <c r="M58" s="1">
        <v>0</v>
      </c>
      <c r="N58" s="1">
        <v>0</v>
      </c>
      <c r="O58" s="1">
        <v>0</v>
      </c>
      <c r="P58" s="1">
        <v>13</v>
      </c>
      <c r="Q58" s="1">
        <v>1.61</v>
      </c>
      <c r="R58" s="1">
        <v>0.53500000000000003</v>
      </c>
      <c r="S58" s="1">
        <f t="shared" si="9"/>
        <v>230.83605302500001</v>
      </c>
      <c r="T58" s="1">
        <v>5.4649999999999999</v>
      </c>
      <c r="U58" s="1">
        <v>7.7290000000000001</v>
      </c>
    </row>
    <row r="59" spans="1:27">
      <c r="A59" s="1">
        <v>0.27500000000000002</v>
      </c>
      <c r="B59" s="1">
        <v>0.67</v>
      </c>
      <c r="C59" s="1">
        <f t="shared" si="7"/>
        <v>0.72499999999999998</v>
      </c>
      <c r="D59" s="1">
        <v>3</v>
      </c>
      <c r="E59" s="1">
        <v>1</v>
      </c>
      <c r="F59" s="1">
        <f>A59*6.941+B59*138.91+C59*47.867+D59*16+Sheet4!A59*87.62+Sheet4!B59*40.078+Sheet4!C59*26.982+Sheet4!D59*114.82+Sheet4!E59*58.993+Sheet4!F59*19+Sheet4!G59*23+Sheet4!H59*50.942+Sheet4!I59*92.906+Sheet4!J59*144.24+Sheet4!K59*107.87+Sheet4!L59*180.95+Sheet4!M59*91.224+Sheet4!N59*178.49</f>
        <v>185.10210000000001</v>
      </c>
      <c r="G59" s="1">
        <f>Sheet4!A59+Sheet4!C59+Sheet4!D59+Sheet4!E59+Sheet4!F59+Sheet4!G59+Sheet4!H59+Sheet4!I59+Sheet4!J59+Sheet4!K59+Sheet4!L59+Sheet4!M59+Sheet4!N59+Sheet4!O59+Sheet4!P59+Sheet4!Q59+Sheet4!R59+Sheet4!S59</f>
        <v>0.27500000000000002</v>
      </c>
      <c r="H59" s="1">
        <f t="shared" si="8"/>
        <v>5.4999999999999938E-2</v>
      </c>
      <c r="I59" s="1">
        <v>300</v>
      </c>
      <c r="J59" s="2">
        <v>7.6580000000000002E-5</v>
      </c>
      <c r="K59" s="1">
        <f t="shared" si="5"/>
        <v>-4.1158846379883309</v>
      </c>
      <c r="L59" s="1">
        <v>0.35</v>
      </c>
      <c r="M59" s="1">
        <v>0</v>
      </c>
      <c r="N59" s="1">
        <v>0</v>
      </c>
      <c r="O59" s="1">
        <v>0</v>
      </c>
      <c r="P59" s="1">
        <v>13</v>
      </c>
      <c r="Q59" s="1">
        <v>1.61</v>
      </c>
      <c r="R59" s="1">
        <v>0.53500000000000003</v>
      </c>
      <c r="S59" s="1">
        <f t="shared" si="9"/>
        <v>229.80337773299996</v>
      </c>
      <c r="T59" s="1">
        <v>5.4569999999999999</v>
      </c>
      <c r="U59" s="1">
        <v>7.7169999999999996</v>
      </c>
    </row>
    <row r="60" spans="1:27">
      <c r="A60" s="1">
        <v>0.3</v>
      </c>
      <c r="B60" s="1">
        <v>0.67</v>
      </c>
      <c r="C60" s="1">
        <f t="shared" si="7"/>
        <v>0.7</v>
      </c>
      <c r="D60" s="1">
        <v>3</v>
      </c>
      <c r="E60" s="1">
        <v>1</v>
      </c>
      <c r="F60" s="1">
        <f>A60*6.941+B60*138.91+C60*47.867+D60*16+Sheet4!A60*87.62+Sheet4!B60*40.078+Sheet4!C60*26.982+Sheet4!D60*114.82+Sheet4!E60*58.993+Sheet4!F60*19+Sheet4!G60*23+Sheet4!H60*50.942+Sheet4!I60*92.906+Sheet4!J60*144.24+Sheet4!K60*107.87+Sheet4!L60*180.95+Sheet4!M60*91.224+Sheet4!N60*178.49</f>
        <v>184.75349999999997</v>
      </c>
      <c r="G60" s="1">
        <f>Sheet4!A60+Sheet4!C60+Sheet4!D60+Sheet4!E60+Sheet4!F60+Sheet4!G60+Sheet4!H60+Sheet4!I60+Sheet4!J60+Sheet4!K60+Sheet4!L60+Sheet4!M60+Sheet4!N60+Sheet4!O60+Sheet4!P60+Sheet4!Q60+Sheet4!R60+Sheet4!S60</f>
        <v>0.3</v>
      </c>
      <c r="H60" s="1">
        <f t="shared" si="8"/>
        <v>2.9999999999999916E-2</v>
      </c>
      <c r="I60" s="1">
        <v>300</v>
      </c>
      <c r="J60" s="2">
        <v>1.7180000000000002E-5</v>
      </c>
      <c r="K60" s="1">
        <f t="shared" si="5"/>
        <v>-4.7649768405047768</v>
      </c>
      <c r="L60" s="1">
        <v>0.33</v>
      </c>
      <c r="M60" s="1">
        <v>0</v>
      </c>
      <c r="N60" s="1">
        <v>0</v>
      </c>
      <c r="O60" s="1">
        <v>0</v>
      </c>
      <c r="P60" s="1">
        <v>13</v>
      </c>
      <c r="Q60" s="1">
        <v>1.61</v>
      </c>
      <c r="R60" s="1">
        <v>0.53500000000000003</v>
      </c>
      <c r="S60" s="1">
        <f t="shared" si="9"/>
        <v>229.49128493999999</v>
      </c>
      <c r="T60" s="1">
        <v>5.4539999999999997</v>
      </c>
      <c r="U60" s="1">
        <v>7.7149999999999999</v>
      </c>
    </row>
    <row r="61" spans="1:27">
      <c r="A61" s="1">
        <v>0.06</v>
      </c>
      <c r="B61" s="1">
        <f t="shared" ref="B61:B66" si="10">0.67-A61</f>
        <v>0.6100000000000001</v>
      </c>
      <c r="C61" s="1">
        <v>1</v>
      </c>
      <c r="D61" s="1">
        <v>3</v>
      </c>
      <c r="E61" s="1">
        <v>1</v>
      </c>
      <c r="F61" s="1">
        <f>A61*6.941+B61*138.91+C61*47.867+D61*16+Sheet4!A61*87.62+Sheet4!B61*40.078+Sheet4!C61*26.982+Sheet4!D61*114.82+Sheet4!E61*58.993+Sheet4!F61*19+Sheet4!G61*23+Sheet4!H61*50.942+Sheet4!I61*92.906+Sheet4!J61*144.24+Sheet4!K61*107.87+Sheet4!L61*180.95+Sheet4!M61*91.224+Sheet4!N61*178.49</f>
        <v>186.27576000000002</v>
      </c>
      <c r="G61" s="1">
        <f>Sheet4!A61+Sheet4!C61+Sheet4!D61+Sheet4!E61+Sheet4!F61+Sheet4!G61+Sheet4!H61+Sheet4!I61+Sheet4!J61+Sheet4!K61+Sheet4!L61+Sheet4!M61+Sheet4!N61+Sheet4!O61+Sheet4!P61+Sheet4!Q61+Sheet4!R61+Sheet4!S61</f>
        <v>0.06</v>
      </c>
      <c r="H61" s="1">
        <f>1-A61-B61-Sheet4!A61</f>
        <v>0.26999999999999985</v>
      </c>
      <c r="I61" s="1">
        <v>300</v>
      </c>
      <c r="J61" s="2">
        <v>1.13E-5</v>
      </c>
      <c r="K61" s="1">
        <f t="shared" si="5"/>
        <v>-4.9469215565165801</v>
      </c>
      <c r="L61" s="1">
        <v>0.37</v>
      </c>
      <c r="M61" s="1">
        <v>38</v>
      </c>
      <c r="N61" s="1">
        <v>0.95</v>
      </c>
      <c r="O61" s="1">
        <v>1.44</v>
      </c>
      <c r="P61" s="1">
        <v>0</v>
      </c>
      <c r="Q61" s="1">
        <v>0</v>
      </c>
      <c r="R61" s="1">
        <v>0</v>
      </c>
      <c r="S61" s="1">
        <v>232.95</v>
      </c>
      <c r="T61" s="1">
        <v>5.4770000000000003</v>
      </c>
      <c r="U61" s="1">
        <v>7.7670000000000003</v>
      </c>
      <c r="V61" s="7" t="s">
        <v>61</v>
      </c>
    </row>
    <row r="62" spans="1:27">
      <c r="A62" s="1">
        <v>0.1</v>
      </c>
      <c r="B62" s="1">
        <f t="shared" si="10"/>
        <v>0.57000000000000006</v>
      </c>
      <c r="C62" s="1">
        <v>1</v>
      </c>
      <c r="D62" s="1">
        <v>3</v>
      </c>
      <c r="E62" s="1">
        <v>1</v>
      </c>
      <c r="F62" s="1">
        <f>A62*6.941+B62*138.91+C62*47.867+D62*16+Sheet4!A62*87.62+Sheet4!B62*40.078+Sheet4!C62*26.982+Sheet4!D62*114.82+Sheet4!E62*58.993+Sheet4!F62*19+Sheet4!G62*23+Sheet4!H62*50.942+Sheet4!I62*92.906+Sheet4!J62*144.24+Sheet4!K62*107.87+Sheet4!L62*180.95+Sheet4!M62*91.224+Sheet4!N62*178.49</f>
        <v>184.5018</v>
      </c>
      <c r="G62" s="1">
        <f>Sheet4!A62+Sheet4!C62+Sheet4!D62+Sheet4!E62+Sheet4!F62+Sheet4!G62+Sheet4!H62+Sheet4!I62+Sheet4!J62+Sheet4!K62+Sheet4!L62+Sheet4!M62+Sheet4!N62+Sheet4!O62+Sheet4!P62+Sheet4!Q62+Sheet4!R62+Sheet4!S62</f>
        <v>0.1</v>
      </c>
      <c r="H62" s="1">
        <f>1-A62-B62-Sheet4!A62</f>
        <v>0.22999999999999995</v>
      </c>
      <c r="I62" s="1">
        <v>300</v>
      </c>
      <c r="J62" s="2">
        <v>1.3699999999999999E-5</v>
      </c>
      <c r="K62" s="1">
        <f t="shared" si="5"/>
        <v>-4.8632794328435933</v>
      </c>
      <c r="L62" s="1">
        <v>0.37</v>
      </c>
      <c r="M62" s="1">
        <v>38</v>
      </c>
      <c r="N62" s="1">
        <v>0.95</v>
      </c>
      <c r="O62" s="1">
        <v>1.44</v>
      </c>
      <c r="P62" s="1">
        <v>0</v>
      </c>
      <c r="Q62" s="1">
        <v>0</v>
      </c>
      <c r="R62" s="1">
        <v>0</v>
      </c>
      <c r="S62" s="1">
        <v>233.13</v>
      </c>
      <c r="T62" s="1">
        <v>5.4809999999999999</v>
      </c>
      <c r="U62" s="1">
        <v>7.7679999999999998</v>
      </c>
    </row>
    <row r="63" spans="1:27">
      <c r="A63" s="1">
        <v>0.15</v>
      </c>
      <c r="B63" s="1">
        <f t="shared" si="10"/>
        <v>0.52</v>
      </c>
      <c r="C63" s="1">
        <v>1</v>
      </c>
      <c r="D63" s="1">
        <v>3</v>
      </c>
      <c r="E63" s="1">
        <v>1</v>
      </c>
      <c r="F63" s="1">
        <f>A63*6.941+B63*138.91+C63*47.867+D63*16+Sheet4!A63*87.62+Sheet4!B63*40.078+Sheet4!C63*26.982+Sheet4!D63*114.82+Sheet4!E63*58.993+Sheet4!F63*19+Sheet4!G63*23+Sheet4!H63*50.942+Sheet4!I63*92.906+Sheet4!J63*144.24+Sheet4!K63*107.87+Sheet4!L63*180.95+Sheet4!M63*91.224+Sheet4!N63*178.49</f>
        <v>182.28434999999999</v>
      </c>
      <c r="G63" s="1">
        <f>Sheet4!A63+Sheet4!C63+Sheet4!D63+Sheet4!E63+Sheet4!F63+Sheet4!G63+Sheet4!H63+Sheet4!I63+Sheet4!J63+Sheet4!K63+Sheet4!L63+Sheet4!M63+Sheet4!N63+Sheet4!O63+Sheet4!P63+Sheet4!Q63+Sheet4!R63+Sheet4!S63</f>
        <v>0.15</v>
      </c>
      <c r="H63" s="1">
        <f>1-A63-B63-Sheet4!A63</f>
        <v>0.17999999999999997</v>
      </c>
      <c r="I63" s="1">
        <v>300</v>
      </c>
      <c r="J63" s="2">
        <v>5.3000000000000001E-5</v>
      </c>
      <c r="K63" s="1">
        <f t="shared" si="5"/>
        <v>-4.2757241303992108</v>
      </c>
      <c r="L63" s="1">
        <v>0.38</v>
      </c>
      <c r="M63" s="1">
        <v>38</v>
      </c>
      <c r="N63" s="1">
        <v>0.95</v>
      </c>
      <c r="O63" s="1">
        <v>1.44</v>
      </c>
      <c r="P63" s="1">
        <v>0</v>
      </c>
      <c r="Q63" s="1">
        <v>0</v>
      </c>
      <c r="R63" s="1">
        <v>0</v>
      </c>
      <c r="S63" s="1">
        <v>233.87</v>
      </c>
      <c r="T63" s="1">
        <v>5.4889999999999999</v>
      </c>
      <c r="U63" s="1">
        <v>7.7690000000000001</v>
      </c>
    </row>
    <row r="64" spans="1:27">
      <c r="A64" s="1">
        <v>0.25</v>
      </c>
      <c r="B64" s="1">
        <f t="shared" si="10"/>
        <v>0.42000000000000004</v>
      </c>
      <c r="C64" s="1">
        <v>1</v>
      </c>
      <c r="D64" s="1">
        <v>3</v>
      </c>
      <c r="E64" s="1">
        <v>1</v>
      </c>
      <c r="F64" s="1">
        <f>A64*6.941+B64*138.91+C64*47.867+D64*16+Sheet4!A64*87.62+Sheet4!B64*40.078+Sheet4!C64*26.982+Sheet4!D64*114.82+Sheet4!E64*58.993+Sheet4!F64*19+Sheet4!G64*23+Sheet4!H64*50.942+Sheet4!I64*92.906+Sheet4!J64*144.24+Sheet4!K64*107.87+Sheet4!L64*180.95+Sheet4!M64*91.224+Sheet4!N64*178.49</f>
        <v>177.84945000000002</v>
      </c>
      <c r="G64" s="1">
        <f>Sheet4!A64+Sheet4!C64+Sheet4!D64+Sheet4!E64+Sheet4!F64+Sheet4!G64+Sheet4!H64+Sheet4!I64+Sheet4!J64+Sheet4!K64+Sheet4!L64+Sheet4!M64+Sheet4!N64+Sheet4!O64+Sheet4!P64+Sheet4!Q64+Sheet4!R64+Sheet4!S64</f>
        <v>0.25</v>
      </c>
      <c r="H64" s="1">
        <f>1-A64-B64-Sheet4!A64</f>
        <v>7.999999999999996E-2</v>
      </c>
      <c r="I64" s="1">
        <v>300</v>
      </c>
      <c r="J64" s="2">
        <v>7.64E-5</v>
      </c>
      <c r="K64" s="1">
        <f t="shared" si="5"/>
        <v>-4.1169066414243103</v>
      </c>
      <c r="L64" s="1">
        <v>0.35</v>
      </c>
      <c r="M64" s="1">
        <v>38</v>
      </c>
      <c r="N64" s="1">
        <v>0.95</v>
      </c>
      <c r="O64" s="1">
        <v>1.44</v>
      </c>
      <c r="P64" s="1">
        <v>0</v>
      </c>
      <c r="Q64" s="1">
        <v>0</v>
      </c>
      <c r="R64" s="1">
        <v>0</v>
      </c>
      <c r="S64" s="1">
        <v>234.41</v>
      </c>
      <c r="T64" s="1">
        <v>5.4930000000000003</v>
      </c>
      <c r="U64" s="1">
        <v>7.7709999999999999</v>
      </c>
    </row>
    <row r="65" spans="1:22">
      <c r="A65" s="1">
        <v>0.27500000000000002</v>
      </c>
      <c r="B65" s="1">
        <f t="shared" si="10"/>
        <v>0.39500000000000002</v>
      </c>
      <c r="C65" s="1">
        <v>1</v>
      </c>
      <c r="D65" s="1">
        <v>3</v>
      </c>
      <c r="E65" s="1">
        <v>1</v>
      </c>
      <c r="F65" s="1">
        <f>A65*6.941+B65*138.91+C65*47.867+D65*16+Sheet4!A65*87.62+Sheet4!B65*40.078+Sheet4!C65*26.982+Sheet4!D65*114.82+Sheet4!E65*58.993+Sheet4!F65*19+Sheet4!G65*23+Sheet4!H65*50.942+Sheet4!I65*92.906+Sheet4!J65*144.24+Sheet4!K65*107.87+Sheet4!L65*180.95+Sheet4!M65*91.224+Sheet4!N65*178.49</f>
        <v>176.740725</v>
      </c>
      <c r="G65" s="1">
        <f>Sheet4!A65+Sheet4!C65+Sheet4!D65+Sheet4!E65+Sheet4!F65+Sheet4!G65+Sheet4!H65+Sheet4!I65+Sheet4!J65+Sheet4!K65+Sheet4!L65+Sheet4!M65+Sheet4!N65+Sheet4!O65+Sheet4!P65+Sheet4!Q65+Sheet4!R65+Sheet4!S65</f>
        <v>0.27500000000000002</v>
      </c>
      <c r="H65" s="1">
        <f>1-A65-B65-Sheet4!A65</f>
        <v>5.4999999999999938E-2</v>
      </c>
      <c r="I65" s="1">
        <v>300</v>
      </c>
      <c r="J65" s="2">
        <v>6.0399999999999998E-5</v>
      </c>
      <c r="K65" s="1">
        <f t="shared" si="5"/>
        <v>-4.2189630613788678</v>
      </c>
      <c r="L65" s="1">
        <v>0.37</v>
      </c>
      <c r="M65" s="1">
        <v>38</v>
      </c>
      <c r="N65" s="1">
        <v>0.95</v>
      </c>
      <c r="O65" s="1">
        <v>1.44</v>
      </c>
      <c r="P65" s="1">
        <v>0</v>
      </c>
      <c r="Q65" s="1">
        <v>0</v>
      </c>
      <c r="R65" s="1">
        <v>0</v>
      </c>
      <c r="S65" s="1">
        <v>234.52</v>
      </c>
      <c r="T65" s="1">
        <v>5.4950000000000001</v>
      </c>
      <c r="U65" s="1">
        <v>7.7720000000000002</v>
      </c>
    </row>
    <row r="66" spans="1:22">
      <c r="A66" s="1">
        <v>0.3</v>
      </c>
      <c r="B66" s="1">
        <f t="shared" si="10"/>
        <v>0.37000000000000005</v>
      </c>
      <c r="C66" s="1">
        <v>1</v>
      </c>
      <c r="D66" s="1">
        <v>3</v>
      </c>
      <c r="E66" s="1">
        <v>1</v>
      </c>
      <c r="F66" s="1">
        <f>A66*6.941+B66*138.91+C66*47.867+D66*16+Sheet4!A66*87.62+Sheet4!B66*40.078+Sheet4!C66*26.982+Sheet4!D66*114.82+Sheet4!E66*58.993+Sheet4!F66*19+Sheet4!G66*23+Sheet4!H66*50.942+Sheet4!I66*92.906+Sheet4!J66*144.24+Sheet4!K66*107.87+Sheet4!L66*180.95+Sheet4!M66*91.224+Sheet4!N66*178.49</f>
        <v>175.63200000000001</v>
      </c>
      <c r="G66" s="1">
        <f>Sheet4!A66+Sheet4!C66+Sheet4!D66+Sheet4!E66+Sheet4!F66+Sheet4!G66+Sheet4!H66+Sheet4!I66+Sheet4!J66+Sheet4!K66+Sheet4!L66+Sheet4!M66+Sheet4!N66+Sheet4!O66+Sheet4!P66+Sheet4!Q66+Sheet4!R66+Sheet4!S66</f>
        <v>0.3</v>
      </c>
      <c r="H66" s="1">
        <f>1-A66-B66-Sheet4!A66</f>
        <v>2.9999999999999916E-2</v>
      </c>
      <c r="I66" s="1">
        <v>300</v>
      </c>
      <c r="J66" s="2">
        <v>1.9199999999999999E-5</v>
      </c>
      <c r="K66" s="1">
        <f t="shared" si="5"/>
        <v>-4.7166987712964508</v>
      </c>
      <c r="L66" s="1">
        <v>0.35</v>
      </c>
      <c r="M66" s="1">
        <v>38</v>
      </c>
      <c r="N66" s="1">
        <v>0.95</v>
      </c>
      <c r="O66" s="1">
        <v>1.44</v>
      </c>
      <c r="P66" s="1">
        <v>0</v>
      </c>
      <c r="Q66" s="1">
        <v>0</v>
      </c>
      <c r="R66" s="1">
        <v>0</v>
      </c>
      <c r="S66" s="1">
        <v>234.73</v>
      </c>
      <c r="T66" s="1">
        <v>5.4969999999999999</v>
      </c>
      <c r="U66" s="1">
        <v>7.774</v>
      </c>
    </row>
    <row r="67" spans="1:22">
      <c r="A67" s="1">
        <v>0.34</v>
      </c>
      <c r="B67" s="1">
        <v>0.51</v>
      </c>
      <c r="C67" s="1">
        <v>1</v>
      </c>
      <c r="D67" s="1">
        <v>2.94</v>
      </c>
      <c r="E67" s="1">
        <v>1</v>
      </c>
      <c r="F67" s="1">
        <f>A67*6.941+B67*138.91+C67*47.867+D67*16+Sheet4!A67*87.62+Sheet4!B67*40.078+Sheet4!C67*26.982+Sheet4!D67*114.82+Sheet4!E67*58.993+Sheet4!F67*19+Sheet4!G67*23+Sheet4!H67*50.942+Sheet4!I67*92.906+Sheet4!J67*144.24+Sheet4!K67*107.87+Sheet4!L67*180.95+Sheet4!M67*91.224+Sheet4!N67*178.49</f>
        <v>168.11103999999997</v>
      </c>
      <c r="G67" s="1">
        <f>Sheet4!A67+Sheet4!C67+Sheet4!D67+Sheet4!E67+Sheet4!F67+Sheet4!G67+Sheet4!H67+Sheet4!I67+Sheet4!J67+Sheet4!K67+Sheet4!L67+Sheet4!M67+Sheet4!N67+Sheet4!O67+Sheet4!P67+Sheet4!Q67+Sheet4!R67+Sheet4!S67</f>
        <v>0</v>
      </c>
      <c r="H67" s="1">
        <v>0.15</v>
      </c>
      <c r="I67" s="1">
        <v>300</v>
      </c>
      <c r="J67" s="2">
        <v>1E-3</v>
      </c>
      <c r="K67" s="1">
        <f t="shared" si="5"/>
        <v>-3</v>
      </c>
      <c r="L67" s="1">
        <v>0.38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V67" s="7" t="s">
        <v>50</v>
      </c>
    </row>
    <row r="68" spans="1:22">
      <c r="A68" s="1">
        <v>0.26</v>
      </c>
      <c r="B68" s="1">
        <v>0.56999999999999995</v>
      </c>
      <c r="C68" s="1">
        <v>1</v>
      </c>
      <c r="D68" s="1">
        <v>2.99</v>
      </c>
      <c r="E68" s="1">
        <v>1</v>
      </c>
      <c r="F68" s="1">
        <f>A68*6.941+B68*138.91+C68*47.867+D68*16+Sheet4!A68*87.62+Sheet4!B68*40.078+Sheet4!C68*26.982+Sheet4!D68*114.82+Sheet4!E68*58.993+Sheet4!F68*19+Sheet4!G68*23+Sheet4!H68*50.942+Sheet4!I68*92.906+Sheet4!J68*144.24+Sheet4!K68*107.87+Sheet4!L68*180.95+Sheet4!M68*91.224+Sheet4!N68*178.49</f>
        <v>176.69036</v>
      </c>
      <c r="G68" s="1">
        <f>Sheet4!A68+Sheet4!C68+Sheet4!D68+Sheet4!E68+Sheet4!F68+Sheet4!G68+Sheet4!H68+Sheet4!I68+Sheet4!J68+Sheet4!K68+Sheet4!L68+Sheet4!M68+Sheet4!N68+Sheet4!O68+Sheet4!P68+Sheet4!Q68+Sheet4!R68+Sheet4!S68</f>
        <v>0</v>
      </c>
      <c r="H68" s="1">
        <v>0.17</v>
      </c>
      <c r="I68" s="1">
        <v>300</v>
      </c>
      <c r="J68" s="2">
        <v>1E-3</v>
      </c>
      <c r="K68" s="1">
        <f t="shared" si="5"/>
        <v>-3</v>
      </c>
      <c r="L68" s="1">
        <v>0.34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</row>
    <row r="69" spans="1:22">
      <c r="A69" s="1">
        <v>0.16</v>
      </c>
      <c r="B69" s="1">
        <v>0.62</v>
      </c>
      <c r="C69" s="1">
        <v>1</v>
      </c>
      <c r="D69" s="1">
        <v>3.01</v>
      </c>
      <c r="E69" s="1">
        <v>1</v>
      </c>
      <c r="F69" s="1">
        <f>A69*6.941+B69*138.91+C69*47.867+D69*16+Sheet4!A69*87.62+Sheet4!B69*40.078+Sheet4!C69*26.982+Sheet4!D69*114.82+Sheet4!E69*58.993+Sheet4!F69*19+Sheet4!G69*23+Sheet4!H69*50.942+Sheet4!I69*92.906+Sheet4!J69*144.24+Sheet4!K69*107.87+Sheet4!L69*180.95+Sheet4!M69*91.224+Sheet4!N69*178.49</f>
        <v>183.26176000000001</v>
      </c>
      <c r="G69" s="1">
        <f>Sheet4!A69+Sheet4!C69+Sheet4!D69+Sheet4!E69+Sheet4!F69+Sheet4!G69+Sheet4!H69+Sheet4!I69+Sheet4!J69+Sheet4!K69+Sheet4!L69+Sheet4!M69+Sheet4!N69+Sheet4!O69+Sheet4!P69+Sheet4!Q69+Sheet4!R69+Sheet4!S69</f>
        <v>0</v>
      </c>
      <c r="H69" s="1">
        <v>0.22</v>
      </c>
      <c r="I69" s="1">
        <v>300</v>
      </c>
      <c r="J69" s="2">
        <v>6.3000000000000003E-4</v>
      </c>
      <c r="K69" s="1">
        <f t="shared" si="5"/>
        <v>-3.2006594505464183</v>
      </c>
      <c r="L69" s="1">
        <v>0.33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</row>
    <row r="70" spans="1:22">
      <c r="A70" s="1">
        <v>6.7000000000000004E-2</v>
      </c>
      <c r="B70" s="1">
        <v>0.64</v>
      </c>
      <c r="C70" s="1">
        <v>1</v>
      </c>
      <c r="D70" s="1">
        <v>2.99</v>
      </c>
      <c r="E70" s="1">
        <v>1</v>
      </c>
      <c r="F70" s="1">
        <f>A70*6.941+B70*138.91+C70*47.867+D70*16+Sheet4!A70*87.62+Sheet4!B70*40.078+Sheet4!C70*26.982+Sheet4!D70*114.82+Sheet4!E70*58.993+Sheet4!F70*19+Sheet4!G70*23+Sheet4!H70*50.942+Sheet4!I70*92.906+Sheet4!J70*144.24+Sheet4!K70*107.87+Sheet4!L70*180.95+Sheet4!M70*91.224+Sheet4!N70*178.49</f>
        <v>185.07444699999999</v>
      </c>
      <c r="G70" s="1">
        <f>Sheet4!A70+Sheet4!C70+Sheet4!D70+Sheet4!E70+Sheet4!F70+Sheet4!G70+Sheet4!H70+Sheet4!I70+Sheet4!J70+Sheet4!K70+Sheet4!L70+Sheet4!M70+Sheet4!N70+Sheet4!O70+Sheet4!P70+Sheet4!Q70+Sheet4!R70+Sheet4!S70</f>
        <v>0</v>
      </c>
      <c r="H70" s="1">
        <v>0.28999999999999998</v>
      </c>
      <c r="I70" s="1">
        <v>300</v>
      </c>
      <c r="J70" s="2">
        <v>7.8999999999999996E-5</v>
      </c>
      <c r="K70" s="1">
        <f t="shared" si="5"/>
        <v>-4.1023729087095582</v>
      </c>
      <c r="L70" s="1">
        <v>0.36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</row>
    <row r="71" spans="1:22">
      <c r="A71" s="1">
        <v>0.28999999999999998</v>
      </c>
      <c r="B71" s="1">
        <v>0.56999999999999995</v>
      </c>
      <c r="C71" s="1">
        <v>1</v>
      </c>
      <c r="D71" s="1">
        <v>3</v>
      </c>
      <c r="E71" s="1">
        <v>0</v>
      </c>
      <c r="F71" s="1">
        <f>A71*6.941+B71*138.91+C71*47.867+D71*16+Sheet4!A71*87.62+Sheet4!B71*40.078+Sheet4!C71*26.982+Sheet4!D71*114.82+Sheet4!E71*58.993+Sheet4!F71*19+Sheet4!G71*23+Sheet4!H71*50.942+Sheet4!I71*92.906+Sheet4!J71*144.24+Sheet4!K71*107.87+Sheet4!L71*180.95+Sheet4!M71*91.224+Sheet4!N71*178.49</f>
        <v>177.05858999999998</v>
      </c>
      <c r="G71" s="1">
        <f>Sheet4!A71+Sheet4!C71+Sheet4!D71+Sheet4!E71+Sheet4!F71+Sheet4!G71+Sheet4!H71+Sheet4!I71+Sheet4!J71+Sheet4!K71+Sheet4!L71+Sheet4!M71+Sheet4!N71+Sheet4!O71+Sheet4!P71+Sheet4!Q71+Sheet4!R71+Sheet4!S71</f>
        <v>0</v>
      </c>
      <c r="H71" s="1">
        <v>0.14000000000000001</v>
      </c>
      <c r="I71" s="1">
        <v>300</v>
      </c>
      <c r="J71" s="2">
        <v>1.1199999999999999E-3</v>
      </c>
      <c r="K71" s="1">
        <f t="shared" ref="K71:K89" si="11">LOG(J71)</f>
        <v>-2.9507819773298185</v>
      </c>
      <c r="L71" s="1">
        <v>0.32950000000000002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f>T71*T71*U71</f>
        <v>110.63125437252002</v>
      </c>
      <c r="T71" s="1">
        <v>3.7814000000000001</v>
      </c>
      <c r="U71" s="1">
        <v>7.7370000000000001</v>
      </c>
      <c r="V71" s="7" t="s">
        <v>60</v>
      </c>
    </row>
    <row r="72" spans="1:22">
      <c r="A72" s="1">
        <v>0.33</v>
      </c>
      <c r="B72" s="1">
        <v>0.55000000000000004</v>
      </c>
      <c r="C72" s="1">
        <v>1</v>
      </c>
      <c r="D72" s="1">
        <v>2.97</v>
      </c>
      <c r="E72" s="1">
        <v>1</v>
      </c>
      <c r="F72" s="1">
        <f>A72*6.941+B72*138.91+C72*47.867+D72*16+Sheet4!A72*87.62+Sheet4!B72*40.078+Sheet4!C72*26.982+Sheet4!D72*114.82+Sheet4!E72*58.993+Sheet4!F72*19+Sheet4!G72*23+Sheet4!H72*50.942+Sheet4!I72*92.906+Sheet4!J72*144.24+Sheet4!K72*107.87+Sheet4!L72*180.95+Sheet4!M72*91.224+Sheet4!N72*178.49</f>
        <v>174.64803000000001</v>
      </c>
      <c r="G72" s="1">
        <f>Sheet4!A72+Sheet4!C72+Sheet4!D72+Sheet4!E72+Sheet4!F72+Sheet4!G72+Sheet4!H72+Sheet4!I72+Sheet4!J72+Sheet4!K72+Sheet4!L72+Sheet4!M72+Sheet4!N72+Sheet4!O72+Sheet4!P72+Sheet4!Q72+Sheet4!R72+Sheet4!S72</f>
        <v>2.9999999999999805E-2</v>
      </c>
      <c r="H72" s="1">
        <f t="shared" ref="H72:H81" si="12">1-A72-B72</f>
        <v>0.11999999999999988</v>
      </c>
      <c r="I72" s="1">
        <v>303</v>
      </c>
      <c r="J72" s="2">
        <v>2.0899999999999998E-3</v>
      </c>
      <c r="K72" s="1">
        <f t="shared" si="11"/>
        <v>-2.6798537138889462</v>
      </c>
      <c r="L72" s="1">
        <v>0.32200000000000001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f t="shared" ref="S72:S75" si="13">T72*T72*U72</f>
        <v>463.90043188812797</v>
      </c>
      <c r="T72" s="1">
        <v>7.7431999999999999</v>
      </c>
      <c r="U72" s="1">
        <v>7.7371999999999996</v>
      </c>
      <c r="V72" s="7" t="s">
        <v>51</v>
      </c>
    </row>
    <row r="73" spans="1:22">
      <c r="A73" s="1">
        <v>0.33</v>
      </c>
      <c r="B73" s="1">
        <v>0.54300000000000004</v>
      </c>
      <c r="C73" s="1">
        <v>1</v>
      </c>
      <c r="D73" s="1">
        <f>3-3*0.017</f>
        <v>2.9489999999999998</v>
      </c>
      <c r="E73" s="1">
        <v>1</v>
      </c>
      <c r="F73" s="1">
        <f>A73*6.941+B73*138.91+C73*47.867+D73*16+Sheet4!A73*87.62+Sheet4!B73*40.078+Sheet4!C73*26.982+Sheet4!D73*114.82+Sheet4!E73*58.993+Sheet4!F73*19+Sheet4!G73*23+Sheet4!H73*50.942+Sheet4!I73*92.906+Sheet4!J73*144.24+Sheet4!K73*107.87+Sheet4!L73*180.95+Sheet4!M73*91.224+Sheet4!N73*178.49</f>
        <v>173.73866000000001</v>
      </c>
      <c r="G73" s="1">
        <f>Sheet4!A73+Sheet4!C73+Sheet4!D73+Sheet4!E73+Sheet4!F73+Sheet4!G73+Sheet4!H73+Sheet4!I73+Sheet4!J73+Sheet4!K73+Sheet4!L73+Sheet4!M73+Sheet4!N73+Sheet4!O73+Sheet4!P73+Sheet4!Q73+Sheet4!R73+Sheet4!S73</f>
        <v>5.1000000000000156E-2</v>
      </c>
      <c r="H73" s="1">
        <f t="shared" si="12"/>
        <v>0.12699999999999989</v>
      </c>
      <c r="I73" s="1">
        <v>303</v>
      </c>
      <c r="J73" s="2">
        <v>2.3E-3</v>
      </c>
      <c r="K73" s="1">
        <f t="shared" si="11"/>
        <v>-2.6382721639824069</v>
      </c>
      <c r="L73" s="1">
        <v>0.31830000000000003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f t="shared" si="13"/>
        <v>464.128132435</v>
      </c>
      <c r="T73" s="1">
        <v>7.7450000000000001</v>
      </c>
      <c r="U73" s="1">
        <v>7.7374000000000001</v>
      </c>
    </row>
    <row r="74" spans="1:22">
      <c r="A74" s="1">
        <v>0.33</v>
      </c>
      <c r="B74" s="1">
        <v>0.52700000000000002</v>
      </c>
      <c r="C74" s="1">
        <v>1</v>
      </c>
      <c r="D74" s="1">
        <f>3-3*0.033</f>
        <v>2.9009999999999998</v>
      </c>
      <c r="E74" s="1">
        <v>1</v>
      </c>
      <c r="F74" s="1">
        <f>A74*6.941+B74*138.91+C74*47.867+D74*16+Sheet4!A74*87.62+Sheet4!B74*40.078+Sheet4!C74*26.982+Sheet4!D74*114.82+Sheet4!E74*58.993+Sheet4!F74*19+Sheet4!G74*23+Sheet4!H74*50.942+Sheet4!I74*92.906+Sheet4!J74*144.24+Sheet4!K74*107.87+Sheet4!L74*180.95+Sheet4!M74*91.224+Sheet4!N74*178.49</f>
        <v>171.6601</v>
      </c>
      <c r="G74" s="1">
        <f>Sheet4!A74+Sheet4!C74+Sheet4!D74+Sheet4!E74+Sheet4!F74+Sheet4!G74+Sheet4!H74+Sheet4!I74+Sheet4!J74+Sheet4!K74+Sheet4!L74+Sheet4!M74+Sheet4!N74+Sheet4!O74+Sheet4!P74+Sheet4!Q74+Sheet4!R74+Sheet4!S74</f>
        <v>9.9000000000000199E-2</v>
      </c>
      <c r="H74" s="1">
        <f t="shared" si="12"/>
        <v>0.1429999999999999</v>
      </c>
      <c r="I74" s="1">
        <v>303</v>
      </c>
      <c r="J74" s="2">
        <v>1.66E-3</v>
      </c>
      <c r="K74" s="1">
        <f t="shared" si="11"/>
        <v>-2.779891911959945</v>
      </c>
      <c r="L74" s="1">
        <v>0.3145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f t="shared" si="13"/>
        <v>464.20604604799991</v>
      </c>
      <c r="T74" s="1">
        <v>7.7455999999999996</v>
      </c>
      <c r="U74" s="1">
        <v>7.7374999999999998</v>
      </c>
    </row>
    <row r="75" spans="1:22">
      <c r="A75" s="1">
        <v>0.33</v>
      </c>
      <c r="B75" s="1">
        <v>0.51</v>
      </c>
      <c r="C75" s="1">
        <v>1</v>
      </c>
      <c r="D75" s="1">
        <f>3-3*0.05</f>
        <v>2.85</v>
      </c>
      <c r="E75" s="1">
        <v>1</v>
      </c>
      <c r="F75" s="1">
        <f>A75*6.941+B75*138.91+C75*47.867+D75*16+Sheet4!A75*87.62+Sheet4!B75*40.078+Sheet4!C75*26.982+Sheet4!D75*114.82+Sheet4!E75*58.993+Sheet4!F75*19+Sheet4!G75*23+Sheet4!H75*50.942+Sheet4!I75*92.906+Sheet4!J75*144.24+Sheet4!K75*107.87+Sheet4!L75*180.95+Sheet4!M75*91.224+Sheet4!N75*178.49</f>
        <v>169.45162999999999</v>
      </c>
      <c r="G75" s="1">
        <f>Sheet4!A75+Sheet4!C75+Sheet4!D75+Sheet4!E75+Sheet4!F75+Sheet4!G75+Sheet4!H75+Sheet4!I75+Sheet4!J75+Sheet4!K75+Sheet4!L75+Sheet4!M75+Sheet4!N75+Sheet4!O75+Sheet4!P75+Sheet4!Q75+Sheet4!R75+Sheet4!S75</f>
        <v>0.14999999999999991</v>
      </c>
      <c r="H75" s="1">
        <f t="shared" si="12"/>
        <v>0.15999999999999992</v>
      </c>
      <c r="I75" s="1">
        <v>303</v>
      </c>
      <c r="J75" s="2">
        <v>8.3000000000000001E-4</v>
      </c>
      <c r="K75" s="1">
        <f t="shared" si="11"/>
        <v>-3.0809219076239263</v>
      </c>
      <c r="L75" s="1">
        <v>0.31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f t="shared" si="13"/>
        <v>464.2599926016</v>
      </c>
      <c r="T75" s="1">
        <v>7.7460000000000004</v>
      </c>
      <c r="U75" s="1">
        <v>7.7375999999999996</v>
      </c>
    </row>
    <row r="76" spans="1:22">
      <c r="A76" s="1">
        <v>0.45</v>
      </c>
      <c r="B76" s="1">
        <v>0.5</v>
      </c>
      <c r="C76" s="1">
        <v>0.95</v>
      </c>
      <c r="D76" s="1">
        <v>3</v>
      </c>
      <c r="E76" s="1">
        <v>1</v>
      </c>
      <c r="F76" s="1">
        <f>A76*6.941+B76*138.91+C76*47.867+D76*16+Sheet4!A76*87.62+Sheet4!B76*40.078+Sheet4!C76*26.982+Sheet4!D76*114.82+Sheet4!E76*58.993+Sheet4!F76*19+Sheet4!G76*23+Sheet4!H76*50.942+Sheet4!I76*92.906+Sheet4!J76*144.24+Sheet4!K76*107.87+Sheet4!L76*180.95+Sheet4!M76*91.224+Sheet4!N76*178.49</f>
        <v>168.5992</v>
      </c>
      <c r="G76" s="1">
        <f>Sheet4!A76+Sheet4!C76+Sheet4!D76+Sheet4!E76+Sheet4!F76+Sheet4!G76+Sheet4!H76+Sheet4!I76+Sheet4!J76+Sheet4!K76+Sheet4!L76+Sheet4!M76+Sheet4!N76+Sheet4!O76+Sheet4!P76+Sheet4!Q76+Sheet4!R76+Sheet4!S76</f>
        <v>0.05</v>
      </c>
      <c r="H76" s="1">
        <f t="shared" si="12"/>
        <v>5.0000000000000044E-2</v>
      </c>
      <c r="I76" s="1">
        <v>303</v>
      </c>
      <c r="J76" s="2">
        <v>4.438E-4</v>
      </c>
      <c r="K76" s="1">
        <f t="shared" si="11"/>
        <v>-3.3528127021040106</v>
      </c>
      <c r="L76" s="1">
        <v>0.2954</v>
      </c>
      <c r="M76" s="1">
        <v>0</v>
      </c>
      <c r="N76" s="1">
        <v>0</v>
      </c>
      <c r="O76" s="1">
        <v>0</v>
      </c>
      <c r="P76" s="1">
        <v>23</v>
      </c>
      <c r="Q76" s="1">
        <v>1.63</v>
      </c>
      <c r="R76" s="1">
        <v>0.54</v>
      </c>
      <c r="S76" s="1">
        <f t="shared" ref="S76:S86" si="14">T76^3</f>
        <v>57.86629972083901</v>
      </c>
      <c r="T76" s="1">
        <v>3.8679000000000001</v>
      </c>
      <c r="U76" s="1">
        <v>3.8679000000000001</v>
      </c>
      <c r="V76" s="7" t="s">
        <v>51</v>
      </c>
    </row>
    <row r="77" spans="1:22">
      <c r="A77" s="1">
        <v>0.4</v>
      </c>
      <c r="B77" s="1">
        <v>0.5</v>
      </c>
      <c r="C77" s="1">
        <v>0.9</v>
      </c>
      <c r="D77" s="1">
        <v>3</v>
      </c>
      <c r="E77" s="1">
        <v>1</v>
      </c>
      <c r="F77" s="1">
        <f>A77*6.941+B77*138.91+C77*47.867+D77*16+Sheet4!A77*87.62+Sheet4!B77*40.078+Sheet4!C77*26.982+Sheet4!D77*114.82+Sheet4!E77*58.993+Sheet4!F77*19+Sheet4!G77*23+Sheet4!H77*50.942+Sheet4!I77*92.906+Sheet4!J77*144.24+Sheet4!K77*107.87+Sheet4!L77*180.95+Sheet4!M77*91.224+Sheet4!N77*178.49</f>
        <v>168.4059</v>
      </c>
      <c r="G77" s="1">
        <f>Sheet4!A77+Sheet4!C77+Sheet4!D77+Sheet4!E77+Sheet4!F77+Sheet4!G77+Sheet4!H77+Sheet4!I77+Sheet4!J77+Sheet4!K77+Sheet4!L77+Sheet4!M77+Sheet4!N77+Sheet4!O77+Sheet4!P77+Sheet4!Q77+Sheet4!R77+Sheet4!S77</f>
        <v>0.1</v>
      </c>
      <c r="H77" s="1">
        <f t="shared" si="12"/>
        <v>9.9999999999999978E-2</v>
      </c>
      <c r="I77" s="1">
        <v>303</v>
      </c>
      <c r="J77" s="2">
        <v>8.5459999999999998E-5</v>
      </c>
      <c r="K77" s="1">
        <f t="shared" si="11"/>
        <v>-4.0682371115188225</v>
      </c>
      <c r="L77" s="1">
        <v>0.29389999999999999</v>
      </c>
      <c r="M77" s="1">
        <v>0</v>
      </c>
      <c r="N77" s="1">
        <v>0</v>
      </c>
      <c r="O77" s="1">
        <v>0</v>
      </c>
      <c r="P77" s="1">
        <v>23</v>
      </c>
      <c r="Q77" s="1">
        <v>1.63</v>
      </c>
      <c r="R77" s="1">
        <v>0.54</v>
      </c>
      <c r="S77" s="1">
        <f t="shared" si="14"/>
        <v>57.830401585711009</v>
      </c>
      <c r="T77" s="1">
        <v>3.8671000000000002</v>
      </c>
      <c r="U77" s="1">
        <v>3.8671000000000002</v>
      </c>
    </row>
    <row r="78" spans="1:22">
      <c r="A78" s="1">
        <v>0.35</v>
      </c>
      <c r="B78" s="1">
        <v>0.5</v>
      </c>
      <c r="C78" s="1">
        <v>0.85</v>
      </c>
      <c r="D78" s="1">
        <v>3</v>
      </c>
      <c r="E78" s="1">
        <v>1</v>
      </c>
      <c r="F78" s="1">
        <f>A78*6.941+B78*138.91+C78*47.867+D78*16+Sheet4!A78*87.62+Sheet4!B78*40.078+Sheet4!C78*26.982+Sheet4!D78*114.82+Sheet4!E78*58.993+Sheet4!F78*19+Sheet4!G78*23+Sheet4!H78*50.942+Sheet4!I78*92.906+Sheet4!J78*144.24+Sheet4!K78*107.87+Sheet4!L78*180.95+Sheet4!M78*91.224+Sheet4!N78*178.49</f>
        <v>168.21260000000001</v>
      </c>
      <c r="G78" s="1">
        <f>Sheet4!A78+Sheet4!C78+Sheet4!D78+Sheet4!E78+Sheet4!F78+Sheet4!G78+Sheet4!H78+Sheet4!I78+Sheet4!J78+Sheet4!K78+Sheet4!L78+Sheet4!M78+Sheet4!N78+Sheet4!O78+Sheet4!P78+Sheet4!Q78+Sheet4!R78+Sheet4!S78</f>
        <v>0.15</v>
      </c>
      <c r="H78" s="1">
        <f t="shared" si="12"/>
        <v>0.15000000000000002</v>
      </c>
      <c r="I78" s="1">
        <v>303</v>
      </c>
      <c r="J78" s="2">
        <v>9.0660000000000003E-5</v>
      </c>
      <c r="K78" s="1">
        <f t="shared" si="11"/>
        <v>-4.0425842852773313</v>
      </c>
      <c r="L78" s="1">
        <v>0.27410000000000001</v>
      </c>
      <c r="M78" s="1">
        <v>0</v>
      </c>
      <c r="N78" s="1">
        <v>0</v>
      </c>
      <c r="O78" s="1">
        <v>0</v>
      </c>
      <c r="P78" s="1">
        <v>23</v>
      </c>
      <c r="Q78" s="1">
        <v>1.63</v>
      </c>
      <c r="R78" s="1">
        <v>0.54</v>
      </c>
      <c r="S78" s="1">
        <f t="shared" si="14"/>
        <v>57.758649861374998</v>
      </c>
      <c r="T78" s="1">
        <v>3.8654999999999999</v>
      </c>
      <c r="U78" s="1">
        <v>3.8654999999999999</v>
      </c>
    </row>
    <row r="79" spans="1:22">
      <c r="A79" s="1">
        <v>0.45</v>
      </c>
      <c r="B79" s="1">
        <v>0.5</v>
      </c>
      <c r="C79" s="1">
        <v>0.95</v>
      </c>
      <c r="D79" s="1">
        <v>3</v>
      </c>
      <c r="E79" s="1">
        <v>1</v>
      </c>
      <c r="F79" s="1">
        <f>A79*6.941+B79*138.91+C79*47.867+D79*16+Sheet4!A79*87.62+Sheet4!B79*40.078+Sheet4!C79*26.982+Sheet4!D79*114.82+Sheet4!E79*58.993+Sheet4!F79*19+Sheet4!G79*23+Sheet4!H79*50.942+Sheet4!I79*92.906+Sheet4!J79*144.24+Sheet4!K79*107.87+Sheet4!L79*180.95+Sheet4!M79*91.224+Sheet4!N79*178.49</f>
        <v>170.69739999999999</v>
      </c>
      <c r="G79" s="1">
        <f>Sheet4!A79+Sheet4!C79+Sheet4!D79+Sheet4!E79+Sheet4!F79+Sheet4!G79+Sheet4!H79+Sheet4!I79+Sheet4!J79+Sheet4!K79+Sheet4!L79+Sheet4!M79+Sheet4!N79+Sheet4!O79+Sheet4!P79+Sheet4!Q79+Sheet4!R79+Sheet4!S79</f>
        <v>0.05</v>
      </c>
      <c r="H79" s="1">
        <f t="shared" si="12"/>
        <v>5.0000000000000044E-2</v>
      </c>
      <c r="I79" s="1">
        <v>303</v>
      </c>
      <c r="J79" s="2">
        <v>5.9299999999999999E-4</v>
      </c>
      <c r="K79" s="1">
        <f t="shared" si="11"/>
        <v>-3.2269453066357374</v>
      </c>
      <c r="L79" s="1">
        <v>0.2717</v>
      </c>
      <c r="M79" s="1">
        <v>0</v>
      </c>
      <c r="N79" s="1">
        <v>0</v>
      </c>
      <c r="O79" s="1">
        <v>0</v>
      </c>
      <c r="P79" s="1">
        <v>41</v>
      </c>
      <c r="Q79" s="1">
        <v>1.59</v>
      </c>
      <c r="R79" s="1">
        <v>0.64</v>
      </c>
      <c r="S79" s="1">
        <f t="shared" si="14"/>
        <v>57.906702876671993</v>
      </c>
      <c r="T79" s="1">
        <v>3.8687999999999998</v>
      </c>
      <c r="U79" s="1">
        <v>3.8687999999999998</v>
      </c>
    </row>
    <row r="80" spans="1:22">
      <c r="A80" s="1">
        <v>0.4</v>
      </c>
      <c r="B80" s="1">
        <v>0.5</v>
      </c>
      <c r="C80" s="1">
        <v>0.9</v>
      </c>
      <c r="D80" s="1">
        <v>3</v>
      </c>
      <c r="E80" s="1">
        <v>1</v>
      </c>
      <c r="F80" s="1">
        <f>A80*6.941+B80*138.91+C80*47.867+D80*16+Sheet4!A80*87.62+Sheet4!B80*40.078+Sheet4!C80*26.982+Sheet4!D80*114.82+Sheet4!E80*58.993+Sheet4!F80*19+Sheet4!G80*23+Sheet4!H80*50.942+Sheet4!I80*92.906+Sheet4!J80*144.24+Sheet4!K80*107.87+Sheet4!L80*180.95+Sheet4!M80*91.224+Sheet4!N80*178.49</f>
        <v>172.60230000000001</v>
      </c>
      <c r="G80" s="1">
        <f>Sheet4!A80+Sheet4!C80+Sheet4!D80+Sheet4!E80+Sheet4!F80+Sheet4!G80+Sheet4!H80+Sheet4!I80+Sheet4!J80+Sheet4!K80+Sheet4!L80+Sheet4!M80+Sheet4!N80+Sheet4!O80+Sheet4!P80+Sheet4!Q80+Sheet4!R80+Sheet4!S80</f>
        <v>0.1</v>
      </c>
      <c r="H80" s="1">
        <f t="shared" si="12"/>
        <v>9.9999999999999978E-2</v>
      </c>
      <c r="I80" s="1">
        <v>303</v>
      </c>
      <c r="J80" s="2">
        <v>3.6600000000000001E-4</v>
      </c>
      <c r="K80" s="1">
        <f t="shared" si="11"/>
        <v>-3.4365189146055894</v>
      </c>
      <c r="L80" s="1">
        <v>0.26050000000000001</v>
      </c>
      <c r="M80" s="1">
        <v>0</v>
      </c>
      <c r="N80" s="1">
        <v>0</v>
      </c>
      <c r="O80" s="1">
        <v>0</v>
      </c>
      <c r="P80" s="1">
        <v>41</v>
      </c>
      <c r="Q80" s="1">
        <v>1.59</v>
      </c>
      <c r="R80" s="1">
        <v>0.64</v>
      </c>
      <c r="S80" s="1">
        <f t="shared" si="14"/>
        <v>57.929157198557</v>
      </c>
      <c r="T80" s="1">
        <v>3.8693</v>
      </c>
      <c r="U80" s="1">
        <v>3.8693</v>
      </c>
    </row>
    <row r="81" spans="1:22">
      <c r="A81" s="1">
        <v>0.35</v>
      </c>
      <c r="B81" s="1">
        <v>0.5</v>
      </c>
      <c r="C81" s="1">
        <v>0.85</v>
      </c>
      <c r="D81" s="1">
        <v>3</v>
      </c>
      <c r="E81" s="1">
        <v>1</v>
      </c>
      <c r="F81" s="1">
        <f>A81*6.941+B81*138.91+C81*47.867+D81*16+Sheet4!A81*87.62+Sheet4!B81*40.078+Sheet4!C81*26.982+Sheet4!D81*114.82+Sheet4!E81*58.993+Sheet4!F81*19+Sheet4!G81*23+Sheet4!H81*50.942+Sheet4!I81*92.906+Sheet4!J81*144.24+Sheet4!K81*107.87+Sheet4!L81*180.95+Sheet4!M81*91.224+Sheet4!N81*178.49</f>
        <v>174.50720000000001</v>
      </c>
      <c r="G81" s="1">
        <f>Sheet4!A81+Sheet4!C81+Sheet4!D81+Sheet4!E81+Sheet4!F81+Sheet4!G81+Sheet4!H81+Sheet4!I81+Sheet4!J81+Sheet4!K81+Sheet4!L81+Sheet4!M81+Sheet4!N81+Sheet4!O81+Sheet4!P81+Sheet4!Q81+Sheet4!R81+Sheet4!S81</f>
        <v>0.15</v>
      </c>
      <c r="H81" s="1">
        <f t="shared" si="12"/>
        <v>0.15000000000000002</v>
      </c>
      <c r="I81" s="1">
        <v>303</v>
      </c>
      <c r="J81" s="2">
        <v>2.0100000000000001E-4</v>
      </c>
      <c r="K81" s="1">
        <f t="shared" si="11"/>
        <v>-3.6968039425795109</v>
      </c>
      <c r="L81" s="1">
        <v>0.25380000000000003</v>
      </c>
      <c r="M81" s="1">
        <v>0</v>
      </c>
      <c r="N81" s="1">
        <v>0</v>
      </c>
      <c r="O81" s="1">
        <v>0</v>
      </c>
      <c r="P81" s="1">
        <v>41</v>
      </c>
      <c r="Q81" s="1">
        <v>1.59</v>
      </c>
      <c r="R81" s="1">
        <v>0.64</v>
      </c>
      <c r="S81" s="1">
        <f t="shared" si="14"/>
        <v>57.956110046098999</v>
      </c>
      <c r="T81" s="1">
        <v>3.8698999999999999</v>
      </c>
      <c r="U81" s="1">
        <v>3.8698999999999999</v>
      </c>
    </row>
    <row r="82" spans="1:22">
      <c r="A82" s="1">
        <v>0.33</v>
      </c>
      <c r="B82" s="1">
        <f>0.56-Sheet4!J82</f>
        <v>0.55750000000000011</v>
      </c>
      <c r="C82" s="1">
        <v>1</v>
      </c>
      <c r="D82" s="1">
        <v>3</v>
      </c>
      <c r="E82" s="1">
        <v>1</v>
      </c>
      <c r="F82" s="1">
        <f>A82*6.941+B82*138.91+C82*47.867+D82*16+Sheet4!A82*87.62+Sheet4!B82*40.078+Sheet4!C82*26.982+Sheet4!D82*114.82+Sheet4!E82*58.993+Sheet4!F82*19+Sheet4!G82*23+Sheet4!H82*50.942+Sheet4!I82*92.906+Sheet4!J82*144.24+Sheet4!K82*107.87+Sheet4!L82*180.95+Sheet4!M82*91.224+Sheet4!N82*178.49</f>
        <v>175.96045500000002</v>
      </c>
      <c r="G82" s="1">
        <f>Sheet4!A82+Sheet4!C82+Sheet4!D82+Sheet4!E82+Sheet4!F82+Sheet4!G82+Sheet4!H82+Sheet4!I82+Sheet4!J82+Sheet4!K82+Sheet4!L82+Sheet4!M82+Sheet4!N82+Sheet4!O82+Sheet4!P82+Sheet4!Q82+Sheet4!R82+Sheet4!S82</f>
        <v>2.5000000000000001E-3</v>
      </c>
      <c r="H82" s="1">
        <f>1-A82-B82-Sheet4!J82</f>
        <v>0.10999999999999982</v>
      </c>
      <c r="I82" s="1">
        <v>298</v>
      </c>
      <c r="J82" s="2">
        <v>1.17E-3</v>
      </c>
      <c r="K82" s="1">
        <f t="shared" si="11"/>
        <v>-2.9318141382538383</v>
      </c>
      <c r="M82" s="1">
        <v>60</v>
      </c>
      <c r="N82" s="1">
        <v>1.1399999999999999</v>
      </c>
      <c r="O82" s="1">
        <v>1.27</v>
      </c>
      <c r="P82" s="1">
        <v>0</v>
      </c>
      <c r="Q82" s="1">
        <v>0</v>
      </c>
      <c r="R82" s="1">
        <v>0</v>
      </c>
      <c r="S82" s="1">
        <f t="shared" si="14"/>
        <v>58.050510847999995</v>
      </c>
      <c r="T82" s="1">
        <v>3.8719999999999999</v>
      </c>
      <c r="U82" s="1">
        <v>3.8719999999999999</v>
      </c>
    </row>
    <row r="83" spans="1:22">
      <c r="A83" s="1">
        <v>0.33</v>
      </c>
      <c r="B83" s="1">
        <f>0.56-Sheet4!J83</f>
        <v>0.55500000000000005</v>
      </c>
      <c r="C83" s="1">
        <v>1</v>
      </c>
      <c r="D83" s="1">
        <v>3</v>
      </c>
      <c r="E83" s="1">
        <v>1</v>
      </c>
      <c r="F83" s="1">
        <f>A83*6.941+B83*138.91+C83*47.867+D83*16+Sheet4!A83*87.62+Sheet4!B83*40.078+Sheet4!C83*26.982+Sheet4!D83*114.82+Sheet4!E83*58.993+Sheet4!F83*19+Sheet4!G83*23+Sheet4!H83*50.942+Sheet4!I83*92.906+Sheet4!J83*144.24+Sheet4!K83*107.87+Sheet4!L83*180.95+Sheet4!M83*91.224+Sheet4!N83*178.49</f>
        <v>175.97378</v>
      </c>
      <c r="G83" s="1">
        <f>Sheet4!A83+Sheet4!C83+Sheet4!D83+Sheet4!E83+Sheet4!F83+Sheet4!G83+Sheet4!H83+Sheet4!I83+Sheet4!J83+Sheet4!K83+Sheet4!L83+Sheet4!M83+Sheet4!N83+Sheet4!O83+Sheet4!P83+Sheet4!Q83+Sheet4!R83+Sheet4!S83</f>
        <v>5.0000000000000001E-3</v>
      </c>
      <c r="H83" s="1">
        <f>1-A83-B83-Sheet4!J83</f>
        <v>0.10999999999999988</v>
      </c>
      <c r="I83" s="1">
        <v>298</v>
      </c>
      <c r="J83" s="2">
        <v>1.2600000000000001E-3</v>
      </c>
      <c r="K83" s="1">
        <f t="shared" si="11"/>
        <v>-2.8996294548824371</v>
      </c>
      <c r="M83" s="1">
        <v>60</v>
      </c>
      <c r="N83" s="1">
        <v>1.1399999999999999</v>
      </c>
      <c r="O83" s="1">
        <v>1.27</v>
      </c>
      <c r="P83" s="1">
        <v>0</v>
      </c>
      <c r="Q83" s="1">
        <v>0</v>
      </c>
      <c r="R83" s="1">
        <v>0</v>
      </c>
      <c r="S83" s="1">
        <f t="shared" si="14"/>
        <v>58.028025175875008</v>
      </c>
      <c r="T83" s="1">
        <v>3.8715000000000002</v>
      </c>
      <c r="U83" s="1">
        <v>3.8715000000000002</v>
      </c>
    </row>
    <row r="84" spans="1:22">
      <c r="A84" s="1">
        <v>0.33</v>
      </c>
      <c r="B84" s="1">
        <f>0.56-Sheet4!J84</f>
        <v>0.5525000000000001</v>
      </c>
      <c r="C84" s="1">
        <v>1</v>
      </c>
      <c r="D84" s="1">
        <v>3</v>
      </c>
      <c r="E84" s="1">
        <v>1</v>
      </c>
      <c r="F84" s="1">
        <f>A84*6.941+B84*138.91+C84*47.867+D84*16+Sheet4!A84*87.62+Sheet4!B84*40.078+Sheet4!C84*26.982+Sheet4!D84*114.82+Sheet4!E84*58.993+Sheet4!F84*19+Sheet4!G84*23+Sheet4!H84*50.942+Sheet4!I84*92.906+Sheet4!J84*144.24+Sheet4!K84*107.87+Sheet4!L84*180.95+Sheet4!M84*91.224+Sheet4!N84*178.49</f>
        <v>175.98710500000001</v>
      </c>
      <c r="G84" s="1">
        <f>Sheet4!A84+Sheet4!C84+Sheet4!D84+Sheet4!E84+Sheet4!F84+Sheet4!G84+Sheet4!H84+Sheet4!I84+Sheet4!J84+Sheet4!K84+Sheet4!L84+Sheet4!M84+Sheet4!N84+Sheet4!O84+Sheet4!P84+Sheet4!Q84+Sheet4!R84+Sheet4!S84</f>
        <v>7.4999999999999997E-3</v>
      </c>
      <c r="H84" s="1">
        <f>1-A84-B84-Sheet4!J84</f>
        <v>0.10999999999999982</v>
      </c>
      <c r="I84" s="1">
        <v>298</v>
      </c>
      <c r="J84" s="2">
        <v>1.07E-3</v>
      </c>
      <c r="K84" s="1">
        <f t="shared" si="11"/>
        <v>-2.9706162223147903</v>
      </c>
      <c r="M84" s="1">
        <v>60</v>
      </c>
      <c r="N84" s="1">
        <v>1.1399999999999999</v>
      </c>
      <c r="O84" s="1">
        <v>1.27</v>
      </c>
      <c r="P84" s="1">
        <v>0</v>
      </c>
      <c r="Q84" s="1">
        <v>0</v>
      </c>
      <c r="R84" s="1">
        <v>0</v>
      </c>
      <c r="S84" s="1">
        <f t="shared" si="14"/>
        <v>58.005545310999999</v>
      </c>
      <c r="T84" s="1">
        <v>3.871</v>
      </c>
      <c r="U84" s="1">
        <v>3.871</v>
      </c>
    </row>
    <row r="85" spans="1:22">
      <c r="A85" s="1">
        <v>0.33</v>
      </c>
      <c r="B85" s="1">
        <f>0.56-Sheet4!J85</f>
        <v>0.54</v>
      </c>
      <c r="C85" s="1">
        <v>1</v>
      </c>
      <c r="D85" s="1">
        <v>3</v>
      </c>
      <c r="E85" s="1">
        <v>1</v>
      </c>
      <c r="F85" s="1">
        <f>A85*6.941+B85*138.91+C85*47.867+D85*16+Sheet4!A85*87.62+Sheet4!B85*40.078+Sheet4!C85*26.982+Sheet4!D85*114.82+Sheet4!E85*58.993+Sheet4!F85*19+Sheet4!G85*23+Sheet4!H85*50.942+Sheet4!I85*92.906+Sheet4!J85*144.24+Sheet4!K85*107.87+Sheet4!L85*180.95+Sheet4!M85*91.224+Sheet4!N85*178.49</f>
        <v>176.05373000000003</v>
      </c>
      <c r="G85" s="1">
        <f>Sheet4!A85+Sheet4!C85+Sheet4!D85+Sheet4!E85+Sheet4!F85+Sheet4!G85+Sheet4!H85+Sheet4!I85+Sheet4!J85+Sheet4!K85+Sheet4!L85+Sheet4!M85+Sheet4!N85+Sheet4!O85+Sheet4!P85+Sheet4!Q85+Sheet4!R85+Sheet4!S85</f>
        <v>0.02</v>
      </c>
      <c r="H85" s="1">
        <f>1-A85-B85-Sheet4!J85</f>
        <v>0.10999999999999989</v>
      </c>
      <c r="I85" s="1">
        <v>298</v>
      </c>
      <c r="J85" s="2">
        <v>9.3300000000000002E-4</v>
      </c>
      <c r="K85" s="1">
        <f t="shared" si="11"/>
        <v>-3.0301183562534999</v>
      </c>
      <c r="M85" s="1">
        <v>60</v>
      </c>
      <c r="N85" s="1">
        <v>1.1399999999999999</v>
      </c>
      <c r="O85" s="1">
        <v>1.27</v>
      </c>
      <c r="P85" s="1">
        <v>0</v>
      </c>
      <c r="Q85" s="1">
        <v>0</v>
      </c>
      <c r="R85" s="1">
        <v>0</v>
      </c>
      <c r="S85" s="1">
        <f t="shared" si="14"/>
        <v>57.938140552374996</v>
      </c>
      <c r="T85" s="1">
        <v>3.8694999999999999</v>
      </c>
      <c r="U85" s="1">
        <v>3.8694999999999999</v>
      </c>
    </row>
    <row r="86" spans="1:22">
      <c r="A86" s="1">
        <v>0.33</v>
      </c>
      <c r="B86" s="1">
        <f>0.56-Sheet4!J86</f>
        <v>0.46000000000000008</v>
      </c>
      <c r="C86" s="1">
        <v>1</v>
      </c>
      <c r="D86" s="1">
        <v>3</v>
      </c>
      <c r="E86" s="1">
        <v>1</v>
      </c>
      <c r="F86" s="1">
        <f>A86*6.941+B86*138.91+C86*47.867+D86*16+Sheet4!A86*87.62+Sheet4!B86*40.078+Sheet4!C86*26.982+Sheet4!D86*114.82+Sheet4!E86*58.993+Sheet4!F86*19+Sheet4!G86*23+Sheet4!H86*50.942+Sheet4!I86*92.906+Sheet4!J86*144.24+Sheet4!K86*107.87+Sheet4!L86*180.95+Sheet4!M86*91.224+Sheet4!N86*178.49</f>
        <v>176.48013</v>
      </c>
      <c r="G86" s="1">
        <f>Sheet4!A86+Sheet4!C86+Sheet4!D86+Sheet4!E86+Sheet4!F86+Sheet4!G86+Sheet4!H86+Sheet4!I86+Sheet4!J86+Sheet4!K86+Sheet4!L86+Sheet4!M86+Sheet4!N86+Sheet4!O86+Sheet4!P86+Sheet4!Q86+Sheet4!R86+Sheet4!S86</f>
        <v>0.1</v>
      </c>
      <c r="H86" s="1">
        <f>1-A86-B86-Sheet4!J86</f>
        <v>0.10999999999999985</v>
      </c>
      <c r="I86" s="1">
        <v>298</v>
      </c>
      <c r="J86" s="2">
        <v>1.9100000000000001E-4</v>
      </c>
      <c r="K86" s="1">
        <f t="shared" si="11"/>
        <v>-3.7189666327522723</v>
      </c>
      <c r="M86" s="1">
        <v>60</v>
      </c>
      <c r="N86" s="1">
        <v>1.1399999999999999</v>
      </c>
      <c r="O86" s="1">
        <v>1.27</v>
      </c>
      <c r="P86" s="1">
        <v>0</v>
      </c>
      <c r="Q86" s="1">
        <v>0</v>
      </c>
      <c r="R86" s="1">
        <v>0</v>
      </c>
      <c r="S86" s="1">
        <f t="shared" si="14"/>
        <v>57.624275390624994</v>
      </c>
      <c r="T86" s="1">
        <v>3.8624999999999998</v>
      </c>
      <c r="U86" s="1">
        <v>3.8624999999999998</v>
      </c>
    </row>
    <row r="87" spans="1:22">
      <c r="A87" s="1">
        <f>0.27*0.67</f>
        <v>0.18090000000000003</v>
      </c>
      <c r="B87" s="1">
        <f>0.56-0.09</f>
        <v>0.47000000000000008</v>
      </c>
      <c r="C87" s="1">
        <v>1</v>
      </c>
      <c r="D87" s="1">
        <v>3</v>
      </c>
      <c r="E87" s="1">
        <v>2</v>
      </c>
      <c r="F87" s="1">
        <f>A87*6.941+B87*138.91+C87*47.867+D87*16+Sheet4!A87*87.62+Sheet4!B87*40.078+Sheet4!C87*26.982+Sheet4!D87*114.82+Sheet4!E87*58.993+Sheet4!F87*19+Sheet4!G87*23+Sheet4!H87*50.942+Sheet4!I87*92.906+Sheet4!J87*144.24+Sheet4!K87*107.87+Sheet4!L87*180.95+Sheet4!M87*91.224+Sheet4!N87*178.49</f>
        <v>172.02154390000001</v>
      </c>
      <c r="G87" s="1">
        <f>Sheet4!A87+Sheet4!C87+Sheet4!D87+Sheet4!E87+Sheet4!F87+Sheet4!G87+Sheet4!H87+Sheet4!I87+Sheet4!J87+Sheet4!K87+Sheet4!L87+Sheet4!M87+Sheet4!N87+Sheet4!O87+Sheet4!P87+Sheet4!Q87+Sheet4!R87+Sheet4!S87</f>
        <v>8.9100000000000013E-2</v>
      </c>
      <c r="H87" s="1">
        <f>0.33-0.09*2</f>
        <v>0.15000000000000002</v>
      </c>
      <c r="I87" s="1">
        <v>300</v>
      </c>
      <c r="J87" s="2">
        <v>1E-4</v>
      </c>
      <c r="K87" s="1">
        <f t="shared" si="11"/>
        <v>-4</v>
      </c>
      <c r="L87" s="1">
        <v>0.3</v>
      </c>
      <c r="M87" s="1">
        <v>60</v>
      </c>
      <c r="N87" s="1">
        <v>1.93</v>
      </c>
      <c r="O87" s="1">
        <v>1.1499999999999999</v>
      </c>
      <c r="P87" s="1">
        <v>0</v>
      </c>
      <c r="Q87" s="1">
        <v>0</v>
      </c>
      <c r="R87" s="1">
        <v>0</v>
      </c>
      <c r="S87" s="1">
        <v>116.99</v>
      </c>
      <c r="T87" s="1">
        <v>3.8809999999999998</v>
      </c>
      <c r="U87" s="1">
        <v>7.7910000000000004</v>
      </c>
      <c r="V87" s="7" t="s">
        <v>59</v>
      </c>
    </row>
    <row r="88" spans="1:22">
      <c r="A88" s="1">
        <f>0.5*0.27</f>
        <v>0.13500000000000001</v>
      </c>
      <c r="B88" s="1">
        <v>0.47</v>
      </c>
      <c r="C88" s="1">
        <v>1</v>
      </c>
      <c r="D88" s="1">
        <v>3</v>
      </c>
      <c r="E88" s="1">
        <v>2</v>
      </c>
      <c r="F88" s="1">
        <f>A88*6.941+B88*138.91+C88*47.867+D88*16+Sheet4!A88*87.62+Sheet4!B88*40.078+Sheet4!C88*26.982+Sheet4!D88*114.82+Sheet4!E88*58.993+Sheet4!F88*19+Sheet4!G88*23+Sheet4!H88*50.942+Sheet4!I88*92.906+Sheet4!J88*144.24+Sheet4!K88*107.87+Sheet4!L88*180.95+Sheet4!M88*91.224+Sheet4!N88*178.49</f>
        <v>176.65418500000001</v>
      </c>
      <c r="G88" s="1">
        <f>Sheet4!A88+Sheet4!C88+Sheet4!D88+Sheet4!E88+Sheet4!F88+Sheet4!G88+Sheet4!H88+Sheet4!I88+Sheet4!J88+Sheet4!K88+Sheet4!L88+Sheet4!M88+Sheet4!N88+Sheet4!O88+Sheet4!P88+Sheet4!Q88+Sheet4!R88+Sheet4!S88</f>
        <v>0.13500000000000001</v>
      </c>
      <c r="H88" s="1">
        <v>0.15</v>
      </c>
      <c r="I88" s="1">
        <v>300</v>
      </c>
      <c r="J88" s="2">
        <v>2.3E-5</v>
      </c>
      <c r="K88" s="1">
        <f t="shared" si="11"/>
        <v>-4.6382721639824069</v>
      </c>
      <c r="L88" s="1">
        <v>0.28399999999999997</v>
      </c>
      <c r="M88" s="1">
        <v>60</v>
      </c>
      <c r="N88" s="1">
        <v>1.93</v>
      </c>
      <c r="O88" s="1">
        <v>1.1499999999999999</v>
      </c>
      <c r="P88" s="1">
        <v>0</v>
      </c>
      <c r="Q88" s="1">
        <v>0</v>
      </c>
      <c r="R88" s="1">
        <v>0</v>
      </c>
      <c r="S88" s="1">
        <v>116.99</v>
      </c>
      <c r="T88" s="1">
        <v>3.8809999999999998</v>
      </c>
      <c r="U88" s="1">
        <v>7.7910000000000004</v>
      </c>
    </row>
    <row r="89" spans="1:22">
      <c r="A89" s="1">
        <f>0.33*0.27</f>
        <v>8.9100000000000013E-2</v>
      </c>
      <c r="B89" s="1">
        <v>0.47</v>
      </c>
      <c r="C89" s="1">
        <v>1</v>
      </c>
      <c r="D89" s="1">
        <v>3</v>
      </c>
      <c r="E89" s="1">
        <v>2</v>
      </c>
      <c r="F89" s="1">
        <f>A89*6.941+B89*138.91+C89*47.867+D89*16+Sheet4!A89*87.62+Sheet4!B89*40.078+Sheet4!C89*26.982+Sheet4!D89*114.82+Sheet4!E89*58.993+Sheet4!F89*19+Sheet4!G89*23+Sheet4!H89*50.942+Sheet4!I89*92.906+Sheet4!J89*144.24+Sheet4!K89*107.87+Sheet4!L89*180.95+Sheet4!M89*91.224+Sheet4!N89*178.49</f>
        <v>181.28682610000001</v>
      </c>
      <c r="G89" s="1">
        <f>Sheet4!A89+Sheet4!C89+Sheet4!D89+Sheet4!E89+Sheet4!F89+Sheet4!G89+Sheet4!H89+Sheet4!I89+Sheet4!J89+Sheet4!K89+Sheet4!L89+Sheet4!M89+Sheet4!N89+Sheet4!O89+Sheet4!P89+Sheet4!Q89+Sheet4!R89+Sheet4!S89</f>
        <v>0.18090000000000003</v>
      </c>
      <c r="H89" s="1">
        <v>0.15</v>
      </c>
      <c r="I89" s="1">
        <v>300</v>
      </c>
      <c r="J89" s="2">
        <v>1.9999999999999999E-7</v>
      </c>
      <c r="K89" s="1">
        <f t="shared" si="11"/>
        <v>-6.6989700043360187</v>
      </c>
      <c r="L89" s="1">
        <v>0.36499999999999999</v>
      </c>
      <c r="M89" s="1">
        <v>60</v>
      </c>
      <c r="N89" s="1">
        <v>1.93</v>
      </c>
      <c r="O89" s="1">
        <v>1.1499999999999999</v>
      </c>
      <c r="P89" s="1">
        <v>0</v>
      </c>
      <c r="Q89" s="1">
        <v>0</v>
      </c>
      <c r="R89" s="1">
        <v>0</v>
      </c>
      <c r="S89" s="1">
        <v>116.97</v>
      </c>
      <c r="T89" s="1">
        <v>3.8820000000000001</v>
      </c>
      <c r="U89" s="1">
        <v>7.7910000000000004</v>
      </c>
    </row>
    <row r="90" spans="1:22">
      <c r="A90" s="1">
        <v>0.45</v>
      </c>
      <c r="B90" s="1">
        <v>0.55000000000000004</v>
      </c>
      <c r="C90" s="1">
        <v>0.9</v>
      </c>
      <c r="D90" s="1">
        <v>3</v>
      </c>
      <c r="E90" s="1">
        <v>1</v>
      </c>
      <c r="F90" s="1">
        <f>A90*6.941+B90*138.91+C90*47.867+D90*16+Sheet4!A90*87.62+Sheet4!B90*40.078+Sheet4!C90*26.982+Sheet4!D90*114.82+Sheet4!E90*58.993+Sheet4!F90*19+Sheet4!G90*23+Sheet4!H90*50.942+Sheet4!I90*92.906+Sheet4!J90*144.24+Sheet4!K90*107.87+Sheet4!L90*180.95+Sheet4!M90*91.224+Sheet4!N90*178.49</f>
        <v>173.30245000000002</v>
      </c>
      <c r="G90" s="1">
        <f>Sheet4!A90+Sheet4!C90+Sheet4!D90+Sheet4!E90+Sheet4!F90+Sheet4!G90+Sheet4!H90+Sheet4!I90+Sheet4!J90+Sheet4!K90+Sheet4!L90+Sheet4!M90+Sheet4!N90+Sheet4!O90+Sheet4!P90+Sheet4!Q90+Sheet4!R90+Sheet4!S90</f>
        <v>0.1</v>
      </c>
      <c r="H90" s="1">
        <v>0</v>
      </c>
      <c r="I90" s="1">
        <v>298</v>
      </c>
      <c r="J90" s="2">
        <v>8.9800000000000004E-4</v>
      </c>
      <c r="K90" s="1">
        <f t="shared" ref="K90:K101" si="15">LOG(J90)</f>
        <v>-3.0467236633326955</v>
      </c>
      <c r="L90" s="1">
        <v>0.27</v>
      </c>
      <c r="M90" s="1">
        <v>0</v>
      </c>
      <c r="N90" s="1">
        <v>0</v>
      </c>
      <c r="O90" s="1">
        <v>0</v>
      </c>
      <c r="P90" s="1">
        <v>13</v>
      </c>
      <c r="Q90" s="1">
        <v>1.61</v>
      </c>
      <c r="R90" s="1">
        <v>0.53500000000000003</v>
      </c>
      <c r="S90" s="1">
        <f t="shared" ref="S90:S105" si="16">T90*T90*U90</f>
        <v>115.71315167913701</v>
      </c>
      <c r="T90" s="1">
        <v>3.8677000000000001</v>
      </c>
      <c r="U90" s="1">
        <v>7.7352999999999996</v>
      </c>
      <c r="V90" s="7" t="s">
        <v>52</v>
      </c>
    </row>
    <row r="91" spans="1:22">
      <c r="A91" s="1">
        <v>0.4</v>
      </c>
      <c r="B91" s="1">
        <v>0.6</v>
      </c>
      <c r="C91" s="1">
        <v>0.8</v>
      </c>
      <c r="D91" s="1">
        <v>3</v>
      </c>
      <c r="E91" s="1">
        <v>1</v>
      </c>
      <c r="F91" s="1">
        <f>A91*6.941+B91*138.91+C91*47.867+D91*16+Sheet4!A91*87.62+Sheet4!B91*40.078+Sheet4!C91*26.982+Sheet4!D91*114.82+Sheet4!E91*58.993+Sheet4!F91*19+Sheet4!G91*23+Sheet4!H91*50.942+Sheet4!I91*92.906+Sheet4!J91*144.24+Sheet4!K91*107.87+Sheet4!L91*180.95+Sheet4!M91*91.224+Sheet4!N91*178.49</f>
        <v>177.8124</v>
      </c>
      <c r="G91" s="1">
        <f>Sheet4!A91+Sheet4!C91+Sheet4!D91+Sheet4!E91+Sheet4!F91+Sheet4!G91+Sheet4!H91+Sheet4!I91+Sheet4!J91+Sheet4!K91+Sheet4!L91+Sheet4!M91+Sheet4!N91+Sheet4!O91+Sheet4!P91+Sheet4!Q91+Sheet4!R91+Sheet4!S91</f>
        <v>0.2</v>
      </c>
      <c r="H91" s="1">
        <v>0</v>
      </c>
      <c r="I91" s="1">
        <v>298</v>
      </c>
      <c r="J91" s="2">
        <v>5.5599999999999996E-4</v>
      </c>
      <c r="K91" s="1">
        <f t="shared" si="15"/>
        <v>-3.2549252084179425</v>
      </c>
      <c r="L91" s="1">
        <v>0.25</v>
      </c>
      <c r="M91" s="1">
        <v>0</v>
      </c>
      <c r="N91" s="1">
        <v>0</v>
      </c>
      <c r="O91" s="1">
        <v>0</v>
      </c>
      <c r="P91" s="1">
        <v>13</v>
      </c>
      <c r="Q91" s="1">
        <v>1.61</v>
      </c>
      <c r="R91" s="1">
        <v>0.53500000000000003</v>
      </c>
      <c r="S91" s="1">
        <f t="shared" si="16"/>
        <v>115.35301456889599</v>
      </c>
      <c r="T91" s="1">
        <v>3.8635999999999999</v>
      </c>
      <c r="U91" s="1">
        <v>7.7275999999999998</v>
      </c>
    </row>
    <row r="92" spans="1:22">
      <c r="A92" s="1">
        <v>0.35</v>
      </c>
      <c r="B92" s="1">
        <v>0.65</v>
      </c>
      <c r="C92" s="1">
        <v>0.7</v>
      </c>
      <c r="D92" s="1">
        <v>3</v>
      </c>
      <c r="E92" s="1">
        <v>1</v>
      </c>
      <c r="F92" s="1">
        <f>A92*6.941+B92*138.91+C92*47.867+D92*16+Sheet4!A92*87.62+Sheet4!B92*40.078+Sheet4!C92*26.982+Sheet4!D92*114.82+Sheet4!E92*58.993+Sheet4!F92*19+Sheet4!G92*23+Sheet4!H92*50.942+Sheet4!I92*92.906+Sheet4!J92*144.24+Sheet4!K92*107.87+Sheet4!L92*180.95+Sheet4!M92*91.224+Sheet4!N92*178.49</f>
        <v>182.32234999999997</v>
      </c>
      <c r="G92" s="1">
        <f>Sheet4!A92+Sheet4!C92+Sheet4!D92+Sheet4!E92+Sheet4!F92+Sheet4!G92+Sheet4!H92+Sheet4!I92+Sheet4!J92+Sheet4!K92+Sheet4!L92+Sheet4!M92+Sheet4!N92+Sheet4!O92+Sheet4!P92+Sheet4!Q92+Sheet4!R92+Sheet4!S92</f>
        <v>0.3</v>
      </c>
      <c r="H92" s="1">
        <v>0</v>
      </c>
      <c r="I92" s="1">
        <v>298</v>
      </c>
      <c r="J92" s="2">
        <v>6.9599999999999998E-5</v>
      </c>
      <c r="K92" s="1">
        <f t="shared" si="15"/>
        <v>-4.157390760389438</v>
      </c>
      <c r="L92" s="1">
        <v>0.27</v>
      </c>
      <c r="M92" s="1">
        <v>0</v>
      </c>
      <c r="N92" s="1">
        <v>0</v>
      </c>
      <c r="O92" s="1">
        <v>0</v>
      </c>
      <c r="P92" s="1">
        <v>13</v>
      </c>
      <c r="Q92" s="1">
        <v>1.61</v>
      </c>
      <c r="R92" s="1">
        <v>0.53500000000000003</v>
      </c>
      <c r="S92" s="1">
        <f t="shared" si="16"/>
        <v>114.58296059490702</v>
      </c>
      <c r="T92" s="1">
        <v>3.8549000000000002</v>
      </c>
      <c r="U92" s="1">
        <v>7.7107000000000001</v>
      </c>
    </row>
    <row r="93" spans="1:22">
      <c r="A93" s="1">
        <v>0.3</v>
      </c>
      <c r="B93" s="1">
        <v>0.7</v>
      </c>
      <c r="C93" s="1">
        <v>0.6</v>
      </c>
      <c r="D93" s="1">
        <v>3</v>
      </c>
      <c r="E93" s="1">
        <v>1</v>
      </c>
      <c r="F93" s="1">
        <f>A93*6.941+B93*138.91+C93*47.867+D93*16+Sheet4!A93*87.62+Sheet4!B93*40.078+Sheet4!C93*26.982+Sheet4!D93*114.82+Sheet4!E93*58.993+Sheet4!F93*19+Sheet4!G93*23+Sheet4!H93*50.942+Sheet4!I93*92.906+Sheet4!J93*144.24+Sheet4!K93*107.87+Sheet4!L93*180.95+Sheet4!M93*91.224+Sheet4!N93*178.49</f>
        <v>186.8323</v>
      </c>
      <c r="G93" s="1">
        <f>Sheet4!A93+Sheet4!C93+Sheet4!D93+Sheet4!E93+Sheet4!F93+Sheet4!G93+Sheet4!H93+Sheet4!I93+Sheet4!J93+Sheet4!K93+Sheet4!L93+Sheet4!M93+Sheet4!N93+Sheet4!O93+Sheet4!P93+Sheet4!Q93+Sheet4!R93+Sheet4!S93</f>
        <v>0.4</v>
      </c>
      <c r="H93" s="1">
        <v>0</v>
      </c>
      <c r="I93" s="1">
        <v>298</v>
      </c>
      <c r="J93" s="2">
        <v>1.7999999999999999E-6</v>
      </c>
      <c r="K93" s="1">
        <f t="shared" si="15"/>
        <v>-5.7447274948966935</v>
      </c>
      <c r="L93" s="1">
        <v>0.3</v>
      </c>
      <c r="M93" s="1">
        <v>0</v>
      </c>
      <c r="N93" s="1">
        <v>0</v>
      </c>
      <c r="O93" s="1">
        <v>0</v>
      </c>
      <c r="P93" s="1">
        <v>13</v>
      </c>
      <c r="Q93" s="1">
        <v>1.61</v>
      </c>
      <c r="R93" s="1">
        <v>0.53500000000000003</v>
      </c>
      <c r="S93" s="1">
        <f t="shared" si="16"/>
        <v>41.027927848999994</v>
      </c>
      <c r="T93" s="1">
        <v>3.4489999999999998</v>
      </c>
      <c r="U93" s="1">
        <v>3.4489999999999998</v>
      </c>
    </row>
    <row r="94" spans="1:22">
      <c r="A94" s="1">
        <f>0.5-0.013*2</f>
        <v>0.47399999999999998</v>
      </c>
      <c r="B94" s="1">
        <v>0</v>
      </c>
      <c r="C94" s="1">
        <v>0.5</v>
      </c>
      <c r="D94" s="1">
        <v>3</v>
      </c>
      <c r="E94" s="1">
        <v>2</v>
      </c>
      <c r="F94" s="1">
        <f>A94*6.941+B94*138.91+C94*47.867+D94*16+Sheet4!A94*87.62+Sheet4!B94*40.078+Sheet4!C94*26.982+Sheet4!D94*114.82+Sheet4!E94*58.993+Sheet4!F94*19+Sheet4!G94*23+Sheet4!H94*50.942+Sheet4!I94*92.906+Sheet4!J94*144.24+Sheet4!K94*107.87+Sheet4!L94*180.95+Sheet4!M94*91.224+Sheet4!N94*178.49</f>
        <v>210.647594</v>
      </c>
      <c r="G94" s="1">
        <f>Sheet4!A94+Sheet4!C94+Sheet4!D94+Sheet4!E94+Sheet4!F94+Sheet4!G94+Sheet4!H94+Sheet4!I94+Sheet4!J94+Sheet4!K94+Sheet4!L94+Sheet4!M94+Sheet4!N94+Sheet4!O94+Sheet4!P94+Sheet4!Q94+Sheet4!R94+Sheet4!S94</f>
        <v>1.0129999999999999</v>
      </c>
      <c r="H94" s="1">
        <v>1.2999999999999999E-2</v>
      </c>
      <c r="I94" s="1">
        <v>294</v>
      </c>
      <c r="J94" s="2">
        <v>4.0000000000000002E-4</v>
      </c>
      <c r="K94" s="1">
        <f t="shared" si="15"/>
        <v>-3.3979400086720375</v>
      </c>
      <c r="L94" s="1">
        <v>0.34</v>
      </c>
      <c r="M94" s="1">
        <v>38</v>
      </c>
      <c r="N94" s="1">
        <v>0.95</v>
      </c>
      <c r="O94" s="1">
        <v>1.44</v>
      </c>
      <c r="P94" s="1">
        <v>73</v>
      </c>
      <c r="Q94" s="1">
        <v>1.51</v>
      </c>
      <c r="R94" s="1">
        <v>0.68</v>
      </c>
      <c r="S94" s="1">
        <f t="shared" si="16"/>
        <v>60.740167780628994</v>
      </c>
      <c r="T94" s="1">
        <v>3.9308999999999998</v>
      </c>
      <c r="U94" s="1">
        <v>3.9308999999999998</v>
      </c>
      <c r="V94" s="7" t="s">
        <v>58</v>
      </c>
    </row>
    <row r="95" spans="1:22">
      <c r="A95" s="1">
        <f>0.5-0.05</f>
        <v>0.45</v>
      </c>
      <c r="B95" s="1">
        <v>0</v>
      </c>
      <c r="C95" s="1">
        <v>0.5</v>
      </c>
      <c r="D95" s="1">
        <v>3</v>
      </c>
      <c r="E95" s="1">
        <v>2</v>
      </c>
      <c r="F95" s="1">
        <f>A95*6.941+B95*138.91+C95*47.867+D95*16+Sheet4!A95*87.62+Sheet4!B95*40.078+Sheet4!C95*26.982+Sheet4!D95*114.82+Sheet4!E95*58.993+Sheet4!F95*19+Sheet4!G95*23+Sheet4!H95*50.942+Sheet4!I95*92.906+Sheet4!J95*144.24+Sheet4!K95*107.87+Sheet4!L95*180.95+Sheet4!M95*91.224+Sheet4!N95*178.49</f>
        <v>211.53244999999998</v>
      </c>
      <c r="G95" s="1">
        <f>Sheet4!A95+Sheet4!C95+Sheet4!D95+Sheet4!E95+Sheet4!F95+Sheet4!G95+Sheet4!H95+Sheet4!I95+Sheet4!J95+Sheet4!K95+Sheet4!L95+Sheet4!M95+Sheet4!N95+Sheet4!O95+Sheet4!P95+Sheet4!Q95+Sheet4!R95+Sheet4!S95</f>
        <v>1.0249999999999999</v>
      </c>
      <c r="H95" s="1">
        <v>2.5000000000000001E-2</v>
      </c>
      <c r="I95" s="1">
        <v>294</v>
      </c>
      <c r="J95" s="2">
        <v>2.5000000000000001E-4</v>
      </c>
      <c r="K95" s="1">
        <f t="shared" si="15"/>
        <v>-3.6020599913279625</v>
      </c>
      <c r="L95" s="1">
        <v>0.35</v>
      </c>
      <c r="M95" s="1">
        <v>38</v>
      </c>
      <c r="N95" s="1">
        <v>0.95</v>
      </c>
      <c r="O95" s="1">
        <v>1.44</v>
      </c>
      <c r="P95" s="1">
        <v>73</v>
      </c>
      <c r="Q95" s="1">
        <v>1.51</v>
      </c>
      <c r="R95" s="1">
        <v>0.68</v>
      </c>
      <c r="S95" s="1">
        <f t="shared" si="16"/>
        <v>60.767985580875006</v>
      </c>
      <c r="T95" s="1">
        <v>3.9315000000000002</v>
      </c>
      <c r="U95" s="1">
        <v>3.9315000000000002</v>
      </c>
    </row>
    <row r="96" spans="1:22">
      <c r="A96" s="1">
        <f>0.5-0.1</f>
        <v>0.4</v>
      </c>
      <c r="B96" s="1">
        <v>0</v>
      </c>
      <c r="C96" s="1">
        <v>0.5</v>
      </c>
      <c r="D96" s="1">
        <v>3</v>
      </c>
      <c r="E96" s="1">
        <v>2</v>
      </c>
      <c r="F96" s="1">
        <f>A96*6.941+B96*138.91+C96*47.867+D96*16+Sheet4!A96*87.62+Sheet4!B96*40.078+Sheet4!C96*26.982+Sheet4!D96*114.82+Sheet4!E96*58.993+Sheet4!F96*19+Sheet4!G96*23+Sheet4!H96*50.942+Sheet4!I96*92.906+Sheet4!J96*144.24+Sheet4!K96*107.87+Sheet4!L96*180.95+Sheet4!M96*91.224+Sheet4!N96*178.49</f>
        <v>213.3759</v>
      </c>
      <c r="G96" s="1">
        <f>Sheet4!A96+Sheet4!C96+Sheet4!D96+Sheet4!E96+Sheet4!F96+Sheet4!G96+Sheet4!H96+Sheet4!I96+Sheet4!J96+Sheet4!K96+Sheet4!L96+Sheet4!M96+Sheet4!N96+Sheet4!O96+Sheet4!P96+Sheet4!Q96+Sheet4!R96+Sheet4!S96</f>
        <v>1.05</v>
      </c>
      <c r="H96" s="1">
        <v>0.05</v>
      </c>
      <c r="I96" s="1">
        <v>294</v>
      </c>
      <c r="J96" s="2">
        <v>3.8000000000000002E-4</v>
      </c>
      <c r="K96" s="1">
        <f t="shared" si="15"/>
        <v>-3.4202164033831899</v>
      </c>
      <c r="L96" s="1">
        <v>0.34</v>
      </c>
      <c r="M96" s="1">
        <v>38</v>
      </c>
      <c r="N96" s="1">
        <v>0.95</v>
      </c>
      <c r="O96" s="1">
        <v>1.44</v>
      </c>
      <c r="P96" s="1">
        <v>73</v>
      </c>
      <c r="Q96" s="1">
        <v>1.51</v>
      </c>
      <c r="R96" s="1">
        <v>0.68</v>
      </c>
      <c r="S96" s="1">
        <f t="shared" si="16"/>
        <v>60.689190531592004</v>
      </c>
      <c r="T96" s="1">
        <v>3.9298000000000002</v>
      </c>
      <c r="U96" s="1">
        <v>3.9298000000000002</v>
      </c>
    </row>
    <row r="97" spans="1:27">
      <c r="A97" s="1">
        <f>0.5-0.15</f>
        <v>0.35</v>
      </c>
      <c r="B97" s="1">
        <v>0</v>
      </c>
      <c r="C97" s="1">
        <v>0.5</v>
      </c>
      <c r="D97" s="1">
        <v>3</v>
      </c>
      <c r="E97" s="1">
        <v>2</v>
      </c>
      <c r="F97" s="1">
        <f>A97*6.941+B97*138.91+C97*47.867+D97*16+Sheet4!A97*87.62+Sheet4!B97*40.078+Sheet4!C97*26.982+Sheet4!D97*114.82+Sheet4!E97*58.993+Sheet4!F97*19+Sheet4!G97*23+Sheet4!H97*50.942+Sheet4!I97*92.906+Sheet4!J97*144.24+Sheet4!K97*107.87+Sheet4!L97*180.95+Sheet4!M97*91.224+Sheet4!N97*178.49</f>
        <v>215.21934999999999</v>
      </c>
      <c r="G97" s="1">
        <f>Sheet4!A97+Sheet4!C97+Sheet4!D97+Sheet4!E97+Sheet4!F97+Sheet4!G97+Sheet4!H97+Sheet4!I97+Sheet4!J97+Sheet4!K97+Sheet4!L97+Sheet4!M97+Sheet4!N97+Sheet4!O97+Sheet4!P97+Sheet4!Q97+Sheet4!R97+Sheet4!S97</f>
        <v>1.075</v>
      </c>
      <c r="H97" s="1">
        <v>7.4999999999999997E-2</v>
      </c>
      <c r="I97" s="1">
        <v>294</v>
      </c>
      <c r="J97" s="2">
        <v>2.9999999999999997E-4</v>
      </c>
      <c r="K97" s="1">
        <f t="shared" si="15"/>
        <v>-3.5228787452803374</v>
      </c>
      <c r="L97" s="1">
        <v>0.34</v>
      </c>
      <c r="M97" s="1">
        <v>38</v>
      </c>
      <c r="N97" s="1">
        <v>0.95</v>
      </c>
      <c r="O97" s="1">
        <v>1.44</v>
      </c>
      <c r="P97" s="1">
        <v>73</v>
      </c>
      <c r="Q97" s="1">
        <v>1.51</v>
      </c>
      <c r="R97" s="1">
        <v>0.68</v>
      </c>
      <c r="S97" s="1">
        <f t="shared" si="16"/>
        <v>60.726262064616002</v>
      </c>
      <c r="T97" s="1">
        <v>3.9306000000000001</v>
      </c>
      <c r="U97" s="1">
        <v>3.9306000000000001</v>
      </c>
    </row>
    <row r="98" spans="1:27">
      <c r="A98" s="1">
        <f>0.5-0.2</f>
        <v>0.3</v>
      </c>
      <c r="B98" s="1">
        <v>0</v>
      </c>
      <c r="C98" s="1">
        <v>0.5</v>
      </c>
      <c r="D98" s="1">
        <v>3</v>
      </c>
      <c r="E98" s="1">
        <v>2</v>
      </c>
      <c r="F98" s="1">
        <f>A98*6.941+B98*138.91+C98*47.867+D98*16+Sheet4!A98*87.62+Sheet4!B98*40.078+Sheet4!C98*26.982+Sheet4!D98*114.82+Sheet4!E98*58.993+Sheet4!F98*19+Sheet4!G98*23+Sheet4!H98*50.942+Sheet4!I98*92.906+Sheet4!J98*144.24+Sheet4!K98*107.87+Sheet4!L98*180.95+Sheet4!M98*91.224+Sheet4!N98*178.49</f>
        <v>217.06279999999998</v>
      </c>
      <c r="G98" s="1">
        <f>Sheet4!A98+Sheet4!C98+Sheet4!D98+Sheet4!E98+Sheet4!F98+Sheet4!G98+Sheet4!H98+Sheet4!I98+Sheet4!J98+Sheet4!K98+Sheet4!L98+Sheet4!M98+Sheet4!N98+Sheet4!O98+Sheet4!P98+Sheet4!Q98+Sheet4!R98+Sheet4!S98</f>
        <v>1.1000000000000001</v>
      </c>
      <c r="H98" s="1">
        <v>0.1</v>
      </c>
      <c r="I98" s="1">
        <v>294</v>
      </c>
      <c r="J98" s="2">
        <v>2.7E-4</v>
      </c>
      <c r="K98" s="1">
        <f t="shared" si="15"/>
        <v>-3.5686362358410126</v>
      </c>
      <c r="L98" s="1">
        <v>0.35</v>
      </c>
      <c r="M98" s="1">
        <v>38</v>
      </c>
      <c r="N98" s="1">
        <v>0.95</v>
      </c>
      <c r="O98" s="1">
        <v>1.44</v>
      </c>
      <c r="P98" s="1">
        <v>73</v>
      </c>
      <c r="Q98" s="1">
        <v>1.51</v>
      </c>
      <c r="R98" s="1">
        <v>0.68</v>
      </c>
      <c r="S98" s="1">
        <f t="shared" si="16"/>
        <v>60.763348691144003</v>
      </c>
      <c r="T98" s="1">
        <v>3.9314</v>
      </c>
      <c r="U98" s="1">
        <v>3.9314</v>
      </c>
    </row>
    <row r="99" spans="1:27">
      <c r="A99" s="1">
        <f>0.5-0.113*2</f>
        <v>0.27400000000000002</v>
      </c>
      <c r="B99" s="1">
        <v>0</v>
      </c>
      <c r="C99" s="1">
        <v>0.5</v>
      </c>
      <c r="D99" s="1">
        <v>3</v>
      </c>
      <c r="E99" s="1">
        <v>2</v>
      </c>
      <c r="F99" s="1">
        <f>A99*6.941+B99*138.91+C99*47.867+D99*16+Sheet4!A99*87.62+Sheet4!B99*40.078+Sheet4!C99*26.982+Sheet4!D99*114.82+Sheet4!E99*58.993+Sheet4!F99*19+Sheet4!G99*23+Sheet4!H99*50.942+Sheet4!I99*92.906+Sheet4!J99*144.24+Sheet4!K99*107.87+Sheet4!L99*180.95+Sheet4!M99*91.224+Sheet4!N99*178.49</f>
        <v>218.02139399999999</v>
      </c>
      <c r="G99" s="1">
        <f>Sheet4!A99+Sheet4!C99+Sheet4!D99+Sheet4!E99+Sheet4!F99+Sheet4!G99+Sheet4!H99+Sheet4!I99+Sheet4!J99+Sheet4!K99+Sheet4!L99+Sheet4!M99+Sheet4!N99+Sheet4!O99+Sheet4!P99+Sheet4!Q99+Sheet4!R99+Sheet4!S99</f>
        <v>1.113</v>
      </c>
      <c r="H99" s="1">
        <v>0.113</v>
      </c>
      <c r="I99" s="1">
        <v>294</v>
      </c>
      <c r="J99" s="2">
        <v>1.2E-4</v>
      </c>
      <c r="K99" s="1">
        <f t="shared" si="15"/>
        <v>-3.9208187539523753</v>
      </c>
      <c r="L99" s="1">
        <v>0.35</v>
      </c>
      <c r="M99" s="1">
        <v>38</v>
      </c>
      <c r="N99" s="1">
        <v>0.95</v>
      </c>
      <c r="O99" s="1">
        <v>1.44</v>
      </c>
      <c r="P99" s="1">
        <v>73</v>
      </c>
      <c r="Q99" s="1">
        <v>1.51</v>
      </c>
      <c r="R99" s="1">
        <v>0.68</v>
      </c>
      <c r="S99" s="1">
        <f t="shared" si="16"/>
        <v>60.767985580875006</v>
      </c>
      <c r="T99" s="1">
        <v>3.9315000000000002</v>
      </c>
      <c r="U99" s="1">
        <v>3.9315000000000002</v>
      </c>
    </row>
    <row r="100" spans="1:27">
      <c r="A100" s="1">
        <f>0.5-0.25</f>
        <v>0.25</v>
      </c>
      <c r="B100" s="1">
        <v>0</v>
      </c>
      <c r="C100" s="1">
        <v>0.5</v>
      </c>
      <c r="D100" s="1">
        <v>3</v>
      </c>
      <c r="E100" s="1">
        <v>2</v>
      </c>
      <c r="F100" s="1">
        <f>A100*6.941+B100*138.91+C100*47.867+D100*16+Sheet4!A100*87.62+Sheet4!B100*40.078+Sheet4!C100*26.982+Sheet4!D100*114.82+Sheet4!E100*58.993+Sheet4!F100*19+Sheet4!G100*23+Sheet4!H100*50.942+Sheet4!I100*92.906+Sheet4!J100*144.24+Sheet4!K100*107.87+Sheet4!L100*180.95+Sheet4!M100*91.224+Sheet4!N100*178.49</f>
        <v>218.90625</v>
      </c>
      <c r="G100" s="1">
        <f>Sheet4!A100+Sheet4!C100+Sheet4!D100+Sheet4!E100+Sheet4!F100+Sheet4!G100+Sheet4!H100+Sheet4!I100+Sheet4!J100+Sheet4!K100+Sheet4!L100+Sheet4!M100+Sheet4!N100+Sheet4!O100+Sheet4!P100+Sheet4!Q100+Sheet4!R100+Sheet4!S100</f>
        <v>1.125</v>
      </c>
      <c r="H100" s="1">
        <v>0.125</v>
      </c>
      <c r="I100" s="1">
        <v>294</v>
      </c>
      <c r="J100" s="2">
        <v>1E-4</v>
      </c>
      <c r="K100" s="1">
        <f t="shared" si="15"/>
        <v>-4</v>
      </c>
      <c r="L100" s="1">
        <v>0.37</v>
      </c>
      <c r="M100" s="1">
        <v>38</v>
      </c>
      <c r="N100" s="1">
        <v>0.95</v>
      </c>
      <c r="O100" s="1">
        <v>1.44</v>
      </c>
      <c r="P100" s="1">
        <v>73</v>
      </c>
      <c r="Q100" s="1">
        <v>1.51</v>
      </c>
      <c r="R100" s="1">
        <v>0.68</v>
      </c>
      <c r="S100" s="1">
        <f t="shared" si="16"/>
        <v>60.758712037296988</v>
      </c>
      <c r="T100" s="1">
        <v>3.9312999999999998</v>
      </c>
      <c r="U100" s="1">
        <v>3.9312999999999998</v>
      </c>
    </row>
    <row r="101" spans="1:27">
      <c r="A101" s="1">
        <f>0.5-0.3</f>
        <v>0.2</v>
      </c>
      <c r="B101" s="1">
        <v>0</v>
      </c>
      <c r="C101" s="1">
        <v>0.5</v>
      </c>
      <c r="D101" s="1">
        <v>3</v>
      </c>
      <c r="E101" s="1">
        <v>2</v>
      </c>
      <c r="F101" s="1">
        <f>A101*6.941+B101*138.91+C101*47.867+D101*16+Sheet4!A101*87.62+Sheet4!B101*40.078+Sheet4!C101*26.982+Sheet4!D101*114.82+Sheet4!E101*58.993+Sheet4!F101*19+Sheet4!G101*23+Sheet4!H101*50.942+Sheet4!I101*92.906+Sheet4!J101*144.24+Sheet4!K101*107.87+Sheet4!L101*180.95+Sheet4!M101*91.224+Sheet4!N101*178.49</f>
        <v>220.74969999999999</v>
      </c>
      <c r="G101" s="1">
        <f>Sheet4!A101+Sheet4!C101+Sheet4!D101+Sheet4!E101+Sheet4!F101+Sheet4!G101+Sheet4!H101+Sheet4!I101+Sheet4!J101+Sheet4!K101+Sheet4!L101+Sheet4!M101+Sheet4!N101+Sheet4!O101+Sheet4!P101+Sheet4!Q101+Sheet4!R101+Sheet4!S101</f>
        <v>1.1499999999999999</v>
      </c>
      <c r="H101" s="1">
        <v>0.15</v>
      </c>
      <c r="I101" s="1">
        <v>294</v>
      </c>
      <c r="J101" s="2">
        <v>3.8999999999999999E-5</v>
      </c>
      <c r="K101" s="1">
        <f t="shared" si="15"/>
        <v>-4.4089353929735005</v>
      </c>
      <c r="L101" s="1">
        <v>0.38</v>
      </c>
      <c r="M101" s="1">
        <v>38</v>
      </c>
      <c r="N101" s="1">
        <v>0.95</v>
      </c>
      <c r="O101" s="1">
        <v>1.44</v>
      </c>
      <c r="P101" s="1">
        <v>73</v>
      </c>
      <c r="Q101" s="1">
        <v>1.51</v>
      </c>
      <c r="R101" s="1">
        <v>0.68</v>
      </c>
      <c r="S101" s="1">
        <f t="shared" si="16"/>
        <v>60.744803491000006</v>
      </c>
      <c r="T101" s="1">
        <v>3.931</v>
      </c>
      <c r="U101" s="1">
        <v>3.931</v>
      </c>
    </row>
    <row r="102" spans="1:27">
      <c r="A102" s="1">
        <v>0.63</v>
      </c>
      <c r="B102" s="1">
        <f t="shared" ref="B102:B132" si="17">4/3-0.21</f>
        <v>1.1233333333333333</v>
      </c>
      <c r="C102" s="1">
        <v>2</v>
      </c>
      <c r="D102" s="1">
        <v>6</v>
      </c>
      <c r="E102" s="1">
        <v>1</v>
      </c>
      <c r="F102" s="1">
        <f>A102*6.941+B102*138.91+C102*47.867+D102*16+Sheet4!A102*87.62+Sheet4!B102*40.078+Sheet4!C102*26.982+Sheet4!D102*114.82+Sheet4!E102*58.993+Sheet4!F102*19+Sheet4!G102*23+Sheet4!H102*50.942+Sheet4!I102*92.906+Sheet4!J102*144.24+Sheet4!K102*107.87+Sheet4!L102*180.95+Sheet4!M102*91.224+Sheet4!N102*178.49</f>
        <v>352.14906333333329</v>
      </c>
      <c r="G102" s="1">
        <f>Sheet4!A102+Sheet4!C102+Sheet4!D102+Sheet4!E102+Sheet4!F102+Sheet4!G102+Sheet4!H102+Sheet4!I102+Sheet4!J102+Sheet4!K102+Sheet4!L102+Sheet4!M102+Sheet4!N102+Sheet4!O102+Sheet4!P102+Sheet4!Q102+Sheet4!R102+Sheet4!S102</f>
        <v>0</v>
      </c>
      <c r="H102" s="1">
        <f t="shared" ref="H102:H132" si="18">2-A102-B102</f>
        <v>0.24666666666666681</v>
      </c>
      <c r="I102" s="1">
        <v>303</v>
      </c>
      <c r="J102" s="2">
        <f>10^(K102)</f>
        <v>1.0471285480508988E-3</v>
      </c>
      <c r="K102" s="1">
        <v>-2.98</v>
      </c>
      <c r="L102" s="1">
        <v>0.44</v>
      </c>
      <c r="M102" s="1">
        <v>0</v>
      </c>
      <c r="N102" s="1">
        <v>0</v>
      </c>
      <c r="O102" s="1">
        <v>0</v>
      </c>
      <c r="P102" s="1">
        <v>13</v>
      </c>
      <c r="Q102" s="1">
        <v>1.61</v>
      </c>
      <c r="R102" s="1">
        <v>0.53500000000000003</v>
      </c>
      <c r="S102" s="1">
        <f t="shared" si="16"/>
        <v>116.22696399432</v>
      </c>
      <c r="T102" s="1">
        <v>3.8721000000000001</v>
      </c>
      <c r="U102" s="1">
        <v>7.7519999999999998</v>
      </c>
      <c r="V102" s="7" t="s">
        <v>57</v>
      </c>
      <c r="W102" s="2"/>
      <c r="X102" s="2"/>
      <c r="Y102" s="2"/>
      <c r="Z102" s="2"/>
      <c r="AA102" s="2"/>
    </row>
    <row r="103" spans="1:27">
      <c r="A103" s="1">
        <v>0.63</v>
      </c>
      <c r="B103" s="1">
        <f t="shared" si="17"/>
        <v>1.1233333333333333</v>
      </c>
      <c r="C103" s="1">
        <v>1.98</v>
      </c>
      <c r="D103" s="1">
        <v>6</v>
      </c>
      <c r="E103" s="1">
        <v>1</v>
      </c>
      <c r="F103" s="1">
        <f>A103*6.941+B103*138.91+C103*47.867+D103*16+Sheet4!A103*87.62+Sheet4!B103*40.078+Sheet4!C103*26.982+Sheet4!D103*114.82+Sheet4!E103*58.993+Sheet4!F103*19+Sheet4!G103*23+Sheet4!H103*50.942+Sheet4!I103*92.906+Sheet4!J103*144.24+Sheet4!K103*107.87+Sheet4!L103*180.95+Sheet4!M103*91.224+Sheet4!N103*178.49</f>
        <v>351.91124333333329</v>
      </c>
      <c r="G103" s="1">
        <f>Sheet4!A103+Sheet4!C103+Sheet4!D103+Sheet4!E103+Sheet4!F103+Sheet4!G103+Sheet4!H103+Sheet4!I103+Sheet4!J103+Sheet4!K103+Sheet4!L103+Sheet4!M103+Sheet4!N103+Sheet4!O103+Sheet4!P103+Sheet4!Q103+Sheet4!R103+Sheet4!S103</f>
        <v>2.6666666666666689E-2</v>
      </c>
      <c r="H103" s="1">
        <f t="shared" si="18"/>
        <v>0.24666666666666681</v>
      </c>
      <c r="I103" s="1">
        <v>303</v>
      </c>
      <c r="J103" s="2">
        <f t="shared" ref="J103:J132" si="19">10^(K103)</f>
        <v>1.288249551693133E-3</v>
      </c>
      <c r="K103" s="1">
        <v>-2.89</v>
      </c>
      <c r="L103" s="1">
        <v>0.44</v>
      </c>
      <c r="M103" s="1">
        <v>0</v>
      </c>
      <c r="N103" s="1">
        <v>0</v>
      </c>
      <c r="O103" s="1">
        <v>0</v>
      </c>
      <c r="P103" s="1">
        <v>13</v>
      </c>
      <c r="Q103" s="1">
        <v>1.61</v>
      </c>
      <c r="R103" s="1">
        <v>0.53500000000000003</v>
      </c>
      <c r="S103" s="1">
        <f t="shared" si="16"/>
        <v>116.28697651303999</v>
      </c>
      <c r="T103" s="1">
        <v>3.8725999999999998</v>
      </c>
      <c r="U103" s="1">
        <v>7.7539999999999996</v>
      </c>
    </row>
    <row r="104" spans="1:27">
      <c r="A104" s="1">
        <v>0.63</v>
      </c>
      <c r="B104" s="1">
        <f t="shared" si="17"/>
        <v>1.1233333333333333</v>
      </c>
      <c r="C104" s="1">
        <v>1.96</v>
      </c>
      <c r="D104" s="1">
        <v>6</v>
      </c>
      <c r="E104" s="1">
        <v>1</v>
      </c>
      <c r="F104" s="1">
        <f>A104*6.941+B104*138.91+C104*47.867+D104*16+Sheet4!A104*87.62+Sheet4!B104*40.078+Sheet4!C104*26.982+Sheet4!D104*114.82+Sheet4!E104*58.993+Sheet4!F104*19+Sheet4!G104*23+Sheet4!H104*50.942+Sheet4!I104*92.906+Sheet4!J104*144.24+Sheet4!K104*107.87+Sheet4!L104*180.95+Sheet4!M104*91.224+Sheet4!N104*178.49</f>
        <v>351.67342333333329</v>
      </c>
      <c r="G104" s="1">
        <f>Sheet4!A104+Sheet4!C104+Sheet4!D104+Sheet4!E104+Sheet4!F104+Sheet4!G104+Sheet4!H104+Sheet4!I104+Sheet4!J104+Sheet4!K104+Sheet4!L104+Sheet4!M104+Sheet4!N104+Sheet4!O104+Sheet4!P104+Sheet4!Q104+Sheet4!R104+Sheet4!S104</f>
        <v>5.3333333333333378E-2</v>
      </c>
      <c r="H104" s="1">
        <f t="shared" si="18"/>
        <v>0.24666666666666681</v>
      </c>
      <c r="I104" s="1">
        <v>303</v>
      </c>
      <c r="J104" s="2">
        <f t="shared" si="19"/>
        <v>1.0543868963912584E-3</v>
      </c>
      <c r="K104" s="1">
        <v>-2.9769999999999999</v>
      </c>
      <c r="L104" s="1">
        <v>0.44</v>
      </c>
      <c r="M104" s="1">
        <v>0</v>
      </c>
      <c r="N104" s="1">
        <v>0</v>
      </c>
      <c r="O104" s="1">
        <v>0</v>
      </c>
      <c r="P104" s="1">
        <v>13</v>
      </c>
      <c r="Q104" s="1">
        <v>1.61</v>
      </c>
      <c r="R104" s="1">
        <v>0.53500000000000003</v>
      </c>
      <c r="S104" s="1">
        <f t="shared" si="16"/>
        <v>116.22399518015997</v>
      </c>
      <c r="T104" s="1">
        <v>3.8727999999999998</v>
      </c>
      <c r="U104" s="1">
        <v>7.7489999999999997</v>
      </c>
    </row>
    <row r="105" spans="1:27">
      <c r="A105" s="1">
        <v>0.63</v>
      </c>
      <c r="B105" s="1">
        <f t="shared" si="17"/>
        <v>1.1233333333333333</v>
      </c>
      <c r="C105" s="1">
        <v>1.94</v>
      </c>
      <c r="D105" s="1">
        <v>6</v>
      </c>
      <c r="E105" s="1">
        <v>1</v>
      </c>
      <c r="F105" s="1">
        <f>A105*6.941+B105*138.91+C105*47.867+D105*16+Sheet4!A105*87.62+Sheet4!B105*40.078+Sheet4!C105*26.982+Sheet4!D105*114.82+Sheet4!E105*58.993+Sheet4!F105*19+Sheet4!G105*23+Sheet4!H105*50.942+Sheet4!I105*92.906+Sheet4!J105*144.24+Sheet4!K105*107.87+Sheet4!L105*180.95+Sheet4!M105*91.224+Sheet4!N105*178.49</f>
        <v>351.43560333333329</v>
      </c>
      <c r="G105" s="1">
        <f>Sheet4!A105+Sheet4!C105+Sheet4!D105+Sheet4!E105+Sheet4!F105+Sheet4!G105+Sheet4!H105+Sheet4!I105+Sheet4!J105+Sheet4!K105+Sheet4!L105+Sheet4!M105+Sheet4!N105+Sheet4!O105+Sheet4!P105+Sheet4!Q105+Sheet4!R105+Sheet4!S105</f>
        <v>8.0000000000000071E-2</v>
      </c>
      <c r="H105" s="1">
        <f t="shared" si="18"/>
        <v>0.24666666666666681</v>
      </c>
      <c r="I105" s="1">
        <v>303</v>
      </c>
      <c r="J105" s="2">
        <f t="shared" si="19"/>
        <v>1.1168632477805602E-3</v>
      </c>
      <c r="K105" s="1">
        <v>-2.952</v>
      </c>
      <c r="L105" s="1">
        <v>0.44</v>
      </c>
      <c r="M105" s="1">
        <v>0</v>
      </c>
      <c r="N105" s="1">
        <v>0</v>
      </c>
      <c r="O105" s="1">
        <v>0</v>
      </c>
      <c r="P105" s="1">
        <v>13</v>
      </c>
      <c r="Q105" s="1">
        <v>1.61</v>
      </c>
      <c r="R105" s="1">
        <v>0.53500000000000003</v>
      </c>
      <c r="S105" s="1">
        <f t="shared" si="16"/>
        <v>116.190993425</v>
      </c>
      <c r="T105" s="1">
        <v>3.8725000000000001</v>
      </c>
      <c r="U105" s="1">
        <v>7.7480000000000002</v>
      </c>
    </row>
    <row r="106" spans="1:27">
      <c r="A106" s="1">
        <v>0.63</v>
      </c>
      <c r="B106" s="1">
        <f t="shared" si="17"/>
        <v>1.1233333333333333</v>
      </c>
      <c r="C106" s="1">
        <v>1.92</v>
      </c>
      <c r="D106" s="1">
        <v>6</v>
      </c>
      <c r="E106" s="1">
        <v>1</v>
      </c>
      <c r="F106" s="1">
        <f>A106*6.941+B106*138.91+C106*47.867+D106*16+Sheet4!A106*87.62+Sheet4!B106*40.078+Sheet4!C106*26.982+Sheet4!D106*114.82+Sheet4!E106*58.993+Sheet4!F106*19+Sheet4!G106*23+Sheet4!H106*50.942+Sheet4!I106*92.906+Sheet4!J106*144.24+Sheet4!K106*107.87+Sheet4!L106*180.95+Sheet4!M106*91.224+Sheet4!N106*178.49</f>
        <v>351.19778333333329</v>
      </c>
      <c r="G106" s="1">
        <f>Sheet4!A106+Sheet4!C106+Sheet4!D106+Sheet4!E106+Sheet4!F106+Sheet4!G106+Sheet4!H106+Sheet4!I106+Sheet4!J106+Sheet4!K106+Sheet4!L106+Sheet4!M106+Sheet4!N106+Sheet4!O106+Sheet4!P106+Sheet4!Q106+Sheet4!R106+Sheet4!S106</f>
        <v>0.10666666666666676</v>
      </c>
      <c r="H106" s="1">
        <f t="shared" si="18"/>
        <v>0.24666666666666681</v>
      </c>
      <c r="I106" s="1">
        <v>303</v>
      </c>
      <c r="J106" s="2">
        <f t="shared" si="19"/>
        <v>1.0519618738232216E-3</v>
      </c>
      <c r="K106" s="1">
        <v>-2.9780000000000002</v>
      </c>
      <c r="L106" s="1">
        <v>0.44</v>
      </c>
      <c r="M106" s="1">
        <v>0</v>
      </c>
      <c r="N106" s="1">
        <v>0</v>
      </c>
      <c r="O106" s="1">
        <v>0</v>
      </c>
      <c r="P106" s="1">
        <v>13</v>
      </c>
      <c r="Q106" s="1">
        <v>1.61</v>
      </c>
      <c r="R106" s="1">
        <v>0.53500000000000003</v>
      </c>
      <c r="S106" s="1">
        <f t="shared" ref="S106:S153" si="20">T106*T106*U106</f>
        <v>116.19398679021</v>
      </c>
      <c r="T106" s="1">
        <v>3.8723000000000001</v>
      </c>
      <c r="U106" s="1">
        <v>7.7489999999999997</v>
      </c>
    </row>
    <row r="107" spans="1:27">
      <c r="A107" s="1">
        <v>0.63</v>
      </c>
      <c r="B107" s="1">
        <f t="shared" si="17"/>
        <v>1.1233333333333333</v>
      </c>
      <c r="C107" s="1">
        <v>1.9</v>
      </c>
      <c r="D107" s="1">
        <v>6</v>
      </c>
      <c r="E107" s="1">
        <v>1</v>
      </c>
      <c r="F107" s="1">
        <f>A107*6.941+B107*138.91+C107*47.867+D107*16+Sheet4!A107*87.62+Sheet4!B107*40.078+Sheet4!C107*26.982+Sheet4!D107*114.82+Sheet4!E107*58.993+Sheet4!F107*19+Sheet4!G107*23+Sheet4!H107*50.942+Sheet4!I107*92.906+Sheet4!J107*144.24+Sheet4!K107*107.87+Sheet4!L107*180.95+Sheet4!M107*91.224+Sheet4!N107*178.49</f>
        <v>350.95996333333329</v>
      </c>
      <c r="G107" s="1">
        <f>Sheet4!A107+Sheet4!C107+Sheet4!D107+Sheet4!E107+Sheet4!F107+Sheet4!G107+Sheet4!H107+Sheet4!I107+Sheet4!J107+Sheet4!K107+Sheet4!L107+Sheet4!M107+Sheet4!N107+Sheet4!O107+Sheet4!P107+Sheet4!Q107+Sheet4!R107+Sheet4!S107</f>
        <v>0.13333333333333344</v>
      </c>
      <c r="H107" s="1">
        <f t="shared" si="18"/>
        <v>0.24666666666666681</v>
      </c>
      <c r="I107" s="1">
        <v>303</v>
      </c>
      <c r="J107" s="2">
        <f t="shared" si="19"/>
        <v>7.9799468726797658E-4</v>
      </c>
      <c r="K107" s="1">
        <v>-3.0979999999999999</v>
      </c>
      <c r="L107" s="1">
        <v>0.47</v>
      </c>
      <c r="M107" s="1">
        <v>0</v>
      </c>
      <c r="N107" s="1">
        <v>0</v>
      </c>
      <c r="O107" s="1">
        <v>0</v>
      </c>
      <c r="P107" s="1">
        <v>13</v>
      </c>
      <c r="Q107" s="1">
        <v>1.61</v>
      </c>
      <c r="R107" s="1">
        <v>0.53500000000000003</v>
      </c>
      <c r="S107" s="1">
        <f t="shared" si="20"/>
        <v>116.19097599999999</v>
      </c>
      <c r="T107" s="1">
        <v>3.8719999999999999</v>
      </c>
      <c r="U107" s="1">
        <v>7.75</v>
      </c>
    </row>
    <row r="108" spans="1:27">
      <c r="A108" s="1">
        <v>0.63</v>
      </c>
      <c r="B108" s="1">
        <f t="shared" si="17"/>
        <v>1.1233333333333333</v>
      </c>
      <c r="C108" s="1">
        <v>1.88</v>
      </c>
      <c r="D108" s="1">
        <v>6</v>
      </c>
      <c r="E108" s="1">
        <v>1</v>
      </c>
      <c r="F108" s="1">
        <f>A108*6.941+B108*138.91+C108*47.867+D108*16+Sheet4!A108*87.62+Sheet4!B108*40.078+Sheet4!C108*26.982+Sheet4!D108*114.82+Sheet4!E108*58.993+Sheet4!F108*19+Sheet4!G108*23+Sheet4!H108*50.942+Sheet4!I108*92.906+Sheet4!J108*144.24+Sheet4!K108*107.87+Sheet4!L108*180.95+Sheet4!M108*91.224+Sheet4!N108*178.49</f>
        <v>350.72214333333329</v>
      </c>
      <c r="G108" s="1">
        <f>Sheet4!A108+Sheet4!C108+Sheet4!D108+Sheet4!E108+Sheet4!F108+Sheet4!G108+Sheet4!H108+Sheet4!I108+Sheet4!J108+Sheet4!K108+Sheet4!L108+Sheet4!M108+Sheet4!N108+Sheet4!O108+Sheet4!P108+Sheet4!Q108+Sheet4!R108+Sheet4!S108</f>
        <v>0.16000000000000014</v>
      </c>
      <c r="H108" s="1">
        <f t="shared" si="18"/>
        <v>0.24666666666666681</v>
      </c>
      <c r="I108" s="1">
        <v>303</v>
      </c>
      <c r="J108" s="2">
        <f t="shared" si="19"/>
        <v>1.0046157902783941E-3</v>
      </c>
      <c r="K108" s="1">
        <v>-2.9980000000000002</v>
      </c>
      <c r="L108" s="1">
        <v>0.47</v>
      </c>
      <c r="M108" s="1">
        <v>0</v>
      </c>
      <c r="N108" s="1">
        <v>0</v>
      </c>
      <c r="O108" s="1">
        <v>0</v>
      </c>
      <c r="P108" s="1">
        <v>13</v>
      </c>
      <c r="Q108" s="1">
        <v>1.61</v>
      </c>
      <c r="R108" s="1">
        <v>0.53500000000000003</v>
      </c>
      <c r="S108" s="1">
        <f t="shared" si="20"/>
        <v>116.18198451909001</v>
      </c>
      <c r="T108" s="1">
        <v>3.8721000000000001</v>
      </c>
      <c r="U108" s="1">
        <v>7.7489999999999997</v>
      </c>
    </row>
    <row r="109" spans="1:27">
      <c r="A109" s="1">
        <v>0.63</v>
      </c>
      <c r="B109" s="1">
        <f t="shared" si="17"/>
        <v>1.1233333333333333</v>
      </c>
      <c r="C109" s="1">
        <v>1.86</v>
      </c>
      <c r="D109" s="1">
        <v>6</v>
      </c>
      <c r="E109" s="1">
        <v>1</v>
      </c>
      <c r="F109" s="1">
        <f>A109*6.941+B109*138.91+C109*47.867+D109*16+Sheet4!A109*87.62+Sheet4!B109*40.078+Sheet4!C109*26.982+Sheet4!D109*114.82+Sheet4!E109*58.993+Sheet4!F109*19+Sheet4!G109*23+Sheet4!H109*50.942+Sheet4!I109*92.906+Sheet4!J109*144.24+Sheet4!K109*107.87+Sheet4!L109*180.95+Sheet4!M109*91.224+Sheet4!N109*178.49</f>
        <v>350.48432333333329</v>
      </c>
      <c r="G109" s="1">
        <f>Sheet4!A109+Sheet4!C109+Sheet4!D109+Sheet4!E109+Sheet4!F109+Sheet4!G109+Sheet4!H109+Sheet4!I109+Sheet4!J109+Sheet4!K109+Sheet4!L109+Sheet4!M109+Sheet4!N109+Sheet4!O109+Sheet4!P109+Sheet4!Q109+Sheet4!R109+Sheet4!S109</f>
        <v>0.18666666666666654</v>
      </c>
      <c r="H109" s="1">
        <f t="shared" si="18"/>
        <v>0.24666666666666681</v>
      </c>
      <c r="I109" s="1">
        <v>303</v>
      </c>
      <c r="J109" s="2">
        <f t="shared" si="19"/>
        <v>9.8174794301998354E-4</v>
      </c>
      <c r="K109" s="1">
        <v>-3.008</v>
      </c>
      <c r="L109" s="1">
        <v>0.47</v>
      </c>
      <c r="M109" s="1">
        <v>0</v>
      </c>
      <c r="N109" s="1">
        <v>0</v>
      </c>
      <c r="O109" s="1">
        <v>0</v>
      </c>
      <c r="P109" s="1">
        <v>13</v>
      </c>
      <c r="Q109" s="1">
        <v>1.61</v>
      </c>
      <c r="R109" s="1">
        <v>0.53500000000000003</v>
      </c>
      <c r="S109" s="1">
        <f t="shared" si="20"/>
        <v>116.14299177572001</v>
      </c>
      <c r="T109" s="1">
        <v>3.8717000000000001</v>
      </c>
      <c r="U109" s="1">
        <v>7.7480000000000002</v>
      </c>
    </row>
    <row r="110" spans="1:27">
      <c r="A110" s="1">
        <v>0.63</v>
      </c>
      <c r="B110" s="1">
        <f t="shared" si="17"/>
        <v>1.1233333333333333</v>
      </c>
      <c r="C110" s="1">
        <v>1.84</v>
      </c>
      <c r="D110" s="1">
        <v>6</v>
      </c>
      <c r="E110" s="1">
        <v>1</v>
      </c>
      <c r="F110" s="1">
        <f>A110*6.941+B110*138.91+C110*47.867+D110*16+Sheet4!A110*87.62+Sheet4!B110*40.078+Sheet4!C110*26.982+Sheet4!D110*114.82+Sheet4!E110*58.993+Sheet4!F110*19+Sheet4!G110*23+Sheet4!H110*50.942+Sheet4!I110*92.906+Sheet4!J110*144.24+Sheet4!K110*107.87+Sheet4!L110*180.95+Sheet4!M110*91.224+Sheet4!N110*178.49</f>
        <v>350.24650333333329</v>
      </c>
      <c r="G110" s="1">
        <f>Sheet4!A110+Sheet4!C110+Sheet4!D110+Sheet4!E110+Sheet4!F110+Sheet4!G110+Sheet4!H110+Sheet4!I110+Sheet4!J110+Sheet4!K110+Sheet4!L110+Sheet4!M110+Sheet4!N110+Sheet4!O110+Sheet4!P110+Sheet4!Q110+Sheet4!R110+Sheet4!S110</f>
        <v>0.21333333333333321</v>
      </c>
      <c r="H110" s="1">
        <f t="shared" si="18"/>
        <v>0.24666666666666681</v>
      </c>
      <c r="I110" s="1">
        <v>303</v>
      </c>
      <c r="J110" s="2">
        <f t="shared" si="19"/>
        <v>7.3451386815711467E-4</v>
      </c>
      <c r="K110" s="1">
        <v>-3.1339999999999999</v>
      </c>
      <c r="L110" s="1">
        <v>0.47</v>
      </c>
      <c r="M110" s="1">
        <v>0</v>
      </c>
      <c r="N110" s="1">
        <v>0</v>
      </c>
      <c r="O110" s="1">
        <v>0</v>
      </c>
      <c r="P110" s="1">
        <v>13</v>
      </c>
      <c r="Q110" s="1">
        <v>1.61</v>
      </c>
      <c r="R110" s="1">
        <v>0.53500000000000003</v>
      </c>
      <c r="S110" s="1">
        <f t="shared" si="20"/>
        <v>116.16699136068002</v>
      </c>
      <c r="T110" s="1">
        <v>3.8721000000000001</v>
      </c>
      <c r="U110" s="1">
        <v>7.7480000000000002</v>
      </c>
    </row>
    <row r="111" spans="1:27">
      <c r="A111" s="1">
        <v>0.63</v>
      </c>
      <c r="B111" s="1">
        <f t="shared" si="17"/>
        <v>1.1233333333333333</v>
      </c>
      <c r="C111" s="1">
        <v>1.82</v>
      </c>
      <c r="D111" s="1">
        <v>6</v>
      </c>
      <c r="E111" s="1">
        <v>1</v>
      </c>
      <c r="F111" s="1">
        <f>A111*6.941+B111*138.91+C111*47.867+D111*16+Sheet4!A111*87.62+Sheet4!B111*40.078+Sheet4!C111*26.982+Sheet4!D111*114.82+Sheet4!E111*58.993+Sheet4!F111*19+Sheet4!G111*23+Sheet4!H111*50.942+Sheet4!I111*92.906+Sheet4!J111*144.24+Sheet4!K111*107.87+Sheet4!L111*180.95+Sheet4!M111*91.224+Sheet4!N111*178.49</f>
        <v>350.00868333333335</v>
      </c>
      <c r="G111" s="1">
        <f>Sheet4!A111+Sheet4!C111+Sheet4!D111+Sheet4!E111+Sheet4!F111+Sheet4!G111+Sheet4!H111+Sheet4!I111+Sheet4!J111+Sheet4!K111+Sheet4!L111+Sheet4!M111+Sheet4!N111+Sheet4!O111+Sheet4!P111+Sheet4!Q111+Sheet4!R111+Sheet4!S111</f>
        <v>0.23999999999999991</v>
      </c>
      <c r="H111" s="1">
        <f t="shared" si="18"/>
        <v>0.24666666666666681</v>
      </c>
      <c r="I111" s="1">
        <v>303</v>
      </c>
      <c r="J111" s="2">
        <f t="shared" si="19"/>
        <v>8.8307990041856235E-4</v>
      </c>
      <c r="K111" s="1">
        <v>-3.0539999999999998</v>
      </c>
      <c r="L111" s="1">
        <v>0.47</v>
      </c>
      <c r="M111" s="1">
        <v>0</v>
      </c>
      <c r="N111" s="1">
        <v>0</v>
      </c>
      <c r="O111" s="1">
        <v>0</v>
      </c>
      <c r="P111" s="1">
        <v>13</v>
      </c>
      <c r="Q111" s="1">
        <v>1.61</v>
      </c>
      <c r="R111" s="1">
        <v>0.53500000000000003</v>
      </c>
      <c r="S111" s="1">
        <f t="shared" si="20"/>
        <v>116.13099291300001</v>
      </c>
      <c r="T111" s="1">
        <v>3.8715000000000002</v>
      </c>
      <c r="U111" s="1">
        <v>7.7480000000000002</v>
      </c>
    </row>
    <row r="112" spans="1:27">
      <c r="A112" s="1">
        <v>0.63</v>
      </c>
      <c r="B112" s="1">
        <f t="shared" si="17"/>
        <v>1.1233333333333333</v>
      </c>
      <c r="C112" s="1">
        <v>1.8</v>
      </c>
      <c r="D112" s="1">
        <v>6</v>
      </c>
      <c r="E112" s="1">
        <v>1</v>
      </c>
      <c r="F112" s="1">
        <f>A112*6.941+B112*138.91+C112*47.867+D112*16+Sheet4!A112*87.62+Sheet4!B112*40.078+Sheet4!C112*26.982+Sheet4!D112*114.82+Sheet4!E112*58.993+Sheet4!F112*19+Sheet4!G112*23+Sheet4!H112*50.942+Sheet4!I112*92.906+Sheet4!J112*144.24+Sheet4!K112*107.87+Sheet4!L112*180.95+Sheet4!M112*91.224+Sheet4!N112*178.49</f>
        <v>349.7708633333333</v>
      </c>
      <c r="G112" s="1">
        <f>Sheet4!A112+Sheet4!C112+Sheet4!D112+Sheet4!E112+Sheet4!F112+Sheet4!G112+Sheet4!H112+Sheet4!I112+Sheet4!J112+Sheet4!K112+Sheet4!L112+Sheet4!M112+Sheet4!N112+Sheet4!O112+Sheet4!P112+Sheet4!Q112+Sheet4!R112+Sheet4!S112</f>
        <v>0.26666666666666661</v>
      </c>
      <c r="H112" s="1">
        <f t="shared" si="18"/>
        <v>0.24666666666666681</v>
      </c>
      <c r="I112" s="1">
        <v>303</v>
      </c>
      <c r="J112" s="2">
        <f t="shared" si="19"/>
        <v>8.5703784523036828E-4</v>
      </c>
      <c r="K112" s="1">
        <v>-3.0670000000000002</v>
      </c>
      <c r="L112" s="1">
        <v>0.47</v>
      </c>
      <c r="M112" s="1">
        <v>0</v>
      </c>
      <c r="N112" s="1">
        <v>0</v>
      </c>
      <c r="O112" s="1">
        <v>0</v>
      </c>
      <c r="P112" s="1">
        <v>13</v>
      </c>
      <c r="Q112" s="1">
        <v>1.61</v>
      </c>
      <c r="R112" s="1">
        <v>0.53500000000000003</v>
      </c>
      <c r="S112" s="1">
        <f t="shared" si="20"/>
        <v>116.13099291300001</v>
      </c>
      <c r="T112" s="1">
        <v>3.8715000000000002</v>
      </c>
      <c r="U112" s="1">
        <v>7.7480000000000002</v>
      </c>
    </row>
    <row r="113" spans="1:21">
      <c r="A113" s="1">
        <v>0.63</v>
      </c>
      <c r="B113" s="1">
        <f t="shared" si="17"/>
        <v>1.1233333333333333</v>
      </c>
      <c r="C113" s="1">
        <v>1.78</v>
      </c>
      <c r="D113" s="1">
        <v>6</v>
      </c>
      <c r="E113" s="1">
        <v>1</v>
      </c>
      <c r="F113" s="1">
        <f>A113*6.941+B113*138.91+C113*47.867+D113*16+Sheet4!A113*87.62+Sheet4!B113*40.078+Sheet4!C113*26.982+Sheet4!D113*114.82+Sheet4!E113*58.993+Sheet4!F113*19+Sheet4!G113*23+Sheet4!H113*50.942+Sheet4!I113*92.906+Sheet4!J113*144.24+Sheet4!K113*107.87+Sheet4!L113*180.95+Sheet4!M113*91.224+Sheet4!N113*178.49</f>
        <v>349.5330433333333</v>
      </c>
      <c r="G113" s="1">
        <f>Sheet4!A113+Sheet4!C113+Sheet4!D113+Sheet4!E113+Sheet4!F113+Sheet4!G113+Sheet4!H113+Sheet4!I113+Sheet4!J113+Sheet4!K113+Sheet4!L113+Sheet4!M113+Sheet4!N113+Sheet4!O113+Sheet4!P113+Sheet4!Q113+Sheet4!R113+Sheet4!S113</f>
        <v>0.29333333333333328</v>
      </c>
      <c r="H113" s="1">
        <f t="shared" si="18"/>
        <v>0.24666666666666681</v>
      </c>
      <c r="I113" s="1">
        <v>303</v>
      </c>
      <c r="J113" s="2">
        <f t="shared" si="19"/>
        <v>8.4918047503631318E-4</v>
      </c>
      <c r="K113" s="1">
        <v>-3.0710000000000002</v>
      </c>
      <c r="L113" s="1">
        <v>0.47</v>
      </c>
      <c r="M113" s="1">
        <v>0</v>
      </c>
      <c r="N113" s="1">
        <v>0</v>
      </c>
      <c r="O113" s="1">
        <v>0</v>
      </c>
      <c r="P113" s="1">
        <v>13</v>
      </c>
      <c r="Q113" s="1">
        <v>1.61</v>
      </c>
      <c r="R113" s="1">
        <v>0.53500000000000003</v>
      </c>
      <c r="S113" s="1">
        <f t="shared" si="20"/>
        <v>116.11600440075</v>
      </c>
      <c r="T113" s="1">
        <v>3.8715000000000002</v>
      </c>
      <c r="U113" s="1">
        <v>7.7469999999999999</v>
      </c>
    </row>
    <row r="114" spans="1:21">
      <c r="A114" s="1">
        <v>0.63</v>
      </c>
      <c r="B114" s="1">
        <f t="shared" si="17"/>
        <v>1.1233333333333333</v>
      </c>
      <c r="C114" s="1">
        <v>1.76</v>
      </c>
      <c r="D114" s="1">
        <v>6</v>
      </c>
      <c r="E114" s="1">
        <v>1</v>
      </c>
      <c r="F114" s="1">
        <f>A114*6.941+B114*138.91+C114*47.867+D114*16+Sheet4!A114*87.62+Sheet4!B114*40.078+Sheet4!C114*26.982+Sheet4!D114*114.82+Sheet4!E114*58.993+Sheet4!F114*19+Sheet4!G114*23+Sheet4!H114*50.942+Sheet4!I114*92.906+Sheet4!J114*144.24+Sheet4!K114*107.87+Sheet4!L114*180.95+Sheet4!M114*91.224+Sheet4!N114*178.49</f>
        <v>349.2952233333333</v>
      </c>
      <c r="G114" s="1">
        <f>Sheet4!A114+Sheet4!C114+Sheet4!D114+Sheet4!E114+Sheet4!F114+Sheet4!G114+Sheet4!H114+Sheet4!I114+Sheet4!J114+Sheet4!K114+Sheet4!L114+Sheet4!M114+Sheet4!N114+Sheet4!O114+Sheet4!P114+Sheet4!Q114+Sheet4!R114+Sheet4!S114</f>
        <v>0.31999999999999995</v>
      </c>
      <c r="H114" s="1">
        <f t="shared" si="18"/>
        <v>0.24666666666666681</v>
      </c>
      <c r="I114" s="1">
        <v>303</v>
      </c>
      <c r="J114" s="2">
        <f t="shared" si="19"/>
        <v>8.8104887300801315E-4</v>
      </c>
      <c r="K114" s="1">
        <v>-3.0550000000000002</v>
      </c>
      <c r="L114" s="1">
        <v>0.47</v>
      </c>
      <c r="M114" s="1">
        <v>0</v>
      </c>
      <c r="N114" s="1">
        <v>0</v>
      </c>
      <c r="O114" s="1">
        <v>0</v>
      </c>
      <c r="P114" s="1">
        <v>13</v>
      </c>
      <c r="Q114" s="1">
        <v>1.61</v>
      </c>
      <c r="R114" s="1">
        <v>0.53500000000000003</v>
      </c>
      <c r="S114" s="1">
        <f t="shared" si="20"/>
        <v>116.11000597612001</v>
      </c>
      <c r="T114" s="1">
        <v>3.8714</v>
      </c>
      <c r="U114" s="1">
        <v>7.7469999999999999</v>
      </c>
    </row>
    <row r="115" spans="1:21">
      <c r="A115" s="1">
        <v>0.63</v>
      </c>
      <c r="B115" s="1">
        <f t="shared" si="17"/>
        <v>1.1233333333333333</v>
      </c>
      <c r="C115" s="1">
        <v>1.74</v>
      </c>
      <c r="D115" s="1">
        <v>6</v>
      </c>
      <c r="E115" s="1">
        <v>1</v>
      </c>
      <c r="F115" s="1">
        <f>A115*6.941+B115*138.91+C115*47.867+D115*16+Sheet4!A115*87.62+Sheet4!B115*40.078+Sheet4!C115*26.982+Sheet4!D115*114.82+Sheet4!E115*58.993+Sheet4!F115*19+Sheet4!G115*23+Sheet4!H115*50.942+Sheet4!I115*92.906+Sheet4!J115*144.24+Sheet4!K115*107.87+Sheet4!L115*180.95+Sheet4!M115*91.224+Sheet4!N115*178.49</f>
        <v>349.0574033333333</v>
      </c>
      <c r="G115" s="1">
        <f>Sheet4!A115+Sheet4!C115+Sheet4!D115+Sheet4!E115+Sheet4!F115+Sheet4!G115+Sheet4!H115+Sheet4!I115+Sheet4!J115+Sheet4!K115+Sheet4!L115+Sheet4!M115+Sheet4!N115+Sheet4!O115+Sheet4!P115+Sheet4!Q115+Sheet4!R115+Sheet4!S115</f>
        <v>0.34666666666666668</v>
      </c>
      <c r="H115" s="1">
        <f t="shared" si="18"/>
        <v>0.24666666666666681</v>
      </c>
      <c r="I115" s="1">
        <v>303</v>
      </c>
      <c r="J115" s="2">
        <f t="shared" si="19"/>
        <v>1.0046157902783941E-3</v>
      </c>
      <c r="K115" s="1">
        <v>-2.9980000000000002</v>
      </c>
      <c r="L115" s="1">
        <v>0.47</v>
      </c>
      <c r="M115" s="1">
        <v>0</v>
      </c>
      <c r="N115" s="1">
        <v>0</v>
      </c>
      <c r="O115" s="1">
        <v>0</v>
      </c>
      <c r="P115" s="1">
        <v>13</v>
      </c>
      <c r="Q115" s="1">
        <v>1.61</v>
      </c>
      <c r="R115" s="1">
        <v>0.53500000000000003</v>
      </c>
      <c r="S115" s="1">
        <f t="shared" si="20"/>
        <v>116.11000597612001</v>
      </c>
      <c r="T115" s="1">
        <v>3.8714</v>
      </c>
      <c r="U115" s="1">
        <v>7.7469999999999999</v>
      </c>
    </row>
    <row r="116" spans="1:21">
      <c r="A116" s="1">
        <v>0.63</v>
      </c>
      <c r="B116" s="1">
        <f t="shared" si="17"/>
        <v>1.1233333333333333</v>
      </c>
      <c r="C116" s="1">
        <v>1.72</v>
      </c>
      <c r="D116" s="1">
        <v>6</v>
      </c>
      <c r="E116" s="1">
        <v>1</v>
      </c>
      <c r="F116" s="1">
        <f>A116*6.941+B116*138.91+C116*47.867+D116*16+Sheet4!A116*87.62+Sheet4!B116*40.078+Sheet4!C116*26.982+Sheet4!D116*114.82+Sheet4!E116*58.993+Sheet4!F116*19+Sheet4!G116*23+Sheet4!H116*50.942+Sheet4!I116*92.906+Sheet4!J116*144.24+Sheet4!K116*107.87+Sheet4!L116*180.95+Sheet4!M116*91.224+Sheet4!N116*178.49</f>
        <v>348.8195833333333</v>
      </c>
      <c r="G116" s="1">
        <f>Sheet4!A116+Sheet4!C116+Sheet4!D116+Sheet4!E116+Sheet4!F116+Sheet4!G116+Sheet4!H116+Sheet4!I116+Sheet4!J116+Sheet4!K116+Sheet4!L116+Sheet4!M116+Sheet4!N116+Sheet4!O116+Sheet4!P116+Sheet4!Q116+Sheet4!R116+Sheet4!S116</f>
        <v>0.37333333333333335</v>
      </c>
      <c r="H116" s="1">
        <f t="shared" si="18"/>
        <v>0.24666666666666681</v>
      </c>
      <c r="I116" s="1">
        <v>303</v>
      </c>
      <c r="J116" s="2">
        <f t="shared" si="19"/>
        <v>1E-3</v>
      </c>
      <c r="K116" s="1">
        <v>-3</v>
      </c>
      <c r="L116" s="1">
        <v>0.47</v>
      </c>
      <c r="M116" s="1">
        <v>0</v>
      </c>
      <c r="N116" s="1">
        <v>0</v>
      </c>
      <c r="O116" s="1">
        <v>0</v>
      </c>
      <c r="P116" s="1">
        <v>13</v>
      </c>
      <c r="Q116" s="1">
        <v>1.61</v>
      </c>
      <c r="R116" s="1">
        <v>0.53500000000000003</v>
      </c>
      <c r="S116" s="1">
        <f t="shared" si="20"/>
        <v>116.11600440075</v>
      </c>
      <c r="T116" s="1">
        <v>3.8715000000000002</v>
      </c>
      <c r="U116" s="1">
        <v>7.7469999999999999</v>
      </c>
    </row>
    <row r="117" spans="1:21">
      <c r="A117" s="1">
        <v>0.63</v>
      </c>
      <c r="B117" s="1">
        <f t="shared" si="17"/>
        <v>1.1233333333333333</v>
      </c>
      <c r="C117" s="1">
        <v>1.7</v>
      </c>
      <c r="D117" s="1">
        <v>6</v>
      </c>
      <c r="E117" s="1">
        <v>1</v>
      </c>
      <c r="F117" s="1">
        <f>A117*6.941+B117*138.91+C117*47.867+D117*16+Sheet4!A117*87.62+Sheet4!B117*40.078+Sheet4!C117*26.982+Sheet4!D117*114.82+Sheet4!E117*58.993+Sheet4!F117*19+Sheet4!G117*23+Sheet4!H117*50.942+Sheet4!I117*92.906+Sheet4!J117*144.24+Sheet4!K117*107.87+Sheet4!L117*180.95+Sheet4!M117*91.224+Sheet4!N117*178.49</f>
        <v>348.5817633333333</v>
      </c>
      <c r="G117" s="1">
        <f>Sheet4!A117+Sheet4!C117+Sheet4!D117+Sheet4!E117+Sheet4!F117+Sheet4!G117+Sheet4!H117+Sheet4!I117+Sheet4!J117+Sheet4!K117+Sheet4!L117+Sheet4!M117+Sheet4!N117+Sheet4!O117+Sheet4!P117+Sheet4!Q117+Sheet4!R117+Sheet4!S117</f>
        <v>0.4</v>
      </c>
      <c r="H117" s="1">
        <f t="shared" si="18"/>
        <v>0.24666666666666681</v>
      </c>
      <c r="I117" s="1">
        <v>303</v>
      </c>
      <c r="J117" s="2">
        <f t="shared" si="19"/>
        <v>1.2246161992650485E-3</v>
      </c>
      <c r="K117" s="1">
        <v>-2.9119999999999999</v>
      </c>
      <c r="L117" s="1">
        <v>0.47</v>
      </c>
      <c r="M117" s="1">
        <v>0</v>
      </c>
      <c r="N117" s="1">
        <v>0</v>
      </c>
      <c r="O117" s="1">
        <v>0</v>
      </c>
      <c r="P117" s="1">
        <v>13</v>
      </c>
      <c r="Q117" s="1">
        <v>1.61</v>
      </c>
      <c r="R117" s="1">
        <v>0.53500000000000003</v>
      </c>
      <c r="S117" s="1">
        <f t="shared" si="20"/>
        <v>116.15198155344</v>
      </c>
      <c r="T117" s="1">
        <v>3.8715999999999999</v>
      </c>
      <c r="U117" s="1">
        <v>7.7489999999999997</v>
      </c>
    </row>
    <row r="118" spans="1:21">
      <c r="A118" s="1">
        <v>0.63</v>
      </c>
      <c r="B118" s="1">
        <f t="shared" si="17"/>
        <v>1.1233333333333333</v>
      </c>
      <c r="C118" s="1">
        <v>1.68</v>
      </c>
      <c r="D118" s="1">
        <v>6</v>
      </c>
      <c r="E118" s="1">
        <v>1</v>
      </c>
      <c r="F118" s="1">
        <f>A118*6.941+B118*138.91+C118*47.867+D118*16+Sheet4!A118*87.62+Sheet4!B118*40.078+Sheet4!C118*26.982+Sheet4!D118*114.82+Sheet4!E118*58.993+Sheet4!F118*19+Sheet4!G118*23+Sheet4!H118*50.942+Sheet4!I118*92.906+Sheet4!J118*144.24+Sheet4!K118*107.87+Sheet4!L118*180.95+Sheet4!M118*91.224+Sheet4!N118*178.49</f>
        <v>348.3439433333333</v>
      </c>
      <c r="G118" s="1">
        <f>Sheet4!A118+Sheet4!C118+Sheet4!D118+Sheet4!E118+Sheet4!F118+Sheet4!G118+Sheet4!H118+Sheet4!I118+Sheet4!J118+Sheet4!K118+Sheet4!L118+Sheet4!M118+Sheet4!N118+Sheet4!O118+Sheet4!P118+Sheet4!Q118+Sheet4!R118+Sheet4!S118</f>
        <v>0.42666666666666675</v>
      </c>
      <c r="H118" s="1">
        <f t="shared" si="18"/>
        <v>0.24666666666666681</v>
      </c>
      <c r="I118" s="1">
        <v>303</v>
      </c>
      <c r="J118" s="2">
        <f t="shared" si="19"/>
        <v>9.7498963771738573E-4</v>
      </c>
      <c r="K118" s="1">
        <v>-3.0110000000000001</v>
      </c>
      <c r="L118" s="1">
        <v>0.47</v>
      </c>
      <c r="M118" s="1">
        <v>0</v>
      </c>
      <c r="N118" s="1">
        <v>0</v>
      </c>
      <c r="O118" s="1">
        <v>0</v>
      </c>
      <c r="P118" s="1">
        <v>13</v>
      </c>
      <c r="Q118" s="1">
        <v>1.61</v>
      </c>
      <c r="R118" s="1">
        <v>0.53500000000000003</v>
      </c>
      <c r="S118" s="1">
        <f t="shared" si="20"/>
        <v>116.11000597612001</v>
      </c>
      <c r="T118" s="1">
        <v>3.8714</v>
      </c>
      <c r="U118" s="1">
        <v>7.7469999999999999</v>
      </c>
    </row>
    <row r="119" spans="1:21">
      <c r="A119" s="1">
        <v>0.63</v>
      </c>
      <c r="B119" s="1">
        <f t="shared" si="17"/>
        <v>1.1233333333333333</v>
      </c>
      <c r="C119" s="1">
        <v>1.66</v>
      </c>
      <c r="D119" s="1">
        <v>6</v>
      </c>
      <c r="E119" s="1">
        <v>1</v>
      </c>
      <c r="F119" s="1">
        <f>A119*6.941+B119*138.91+C119*47.867+D119*16+Sheet4!A119*87.62+Sheet4!B119*40.078+Sheet4!C119*26.982+Sheet4!D119*114.82+Sheet4!E119*58.993+Sheet4!F119*19+Sheet4!G119*23+Sheet4!H119*50.942+Sheet4!I119*92.906+Sheet4!J119*144.24+Sheet4!K119*107.87+Sheet4!L119*180.95+Sheet4!M119*91.224+Sheet4!N119*178.49</f>
        <v>348.1061233333333</v>
      </c>
      <c r="G119" s="1">
        <f>Sheet4!A119+Sheet4!C119+Sheet4!D119+Sheet4!E119+Sheet4!F119+Sheet4!G119+Sheet4!H119+Sheet4!I119+Sheet4!J119+Sheet4!K119+Sheet4!L119+Sheet4!M119+Sheet4!N119+Sheet4!O119+Sheet4!P119+Sheet4!Q119+Sheet4!R119+Sheet4!S119</f>
        <v>0.45333333333333342</v>
      </c>
      <c r="H119" s="1">
        <f t="shared" si="18"/>
        <v>0.24666666666666681</v>
      </c>
      <c r="I119" s="1">
        <v>303</v>
      </c>
      <c r="J119" s="2">
        <f t="shared" si="19"/>
        <v>9.7050996724548958E-4</v>
      </c>
      <c r="K119" s="1">
        <v>-3.0129999999999999</v>
      </c>
      <c r="L119" s="1">
        <v>0.47</v>
      </c>
      <c r="M119" s="1">
        <v>0</v>
      </c>
      <c r="N119" s="1">
        <v>0</v>
      </c>
      <c r="O119" s="1">
        <v>0</v>
      </c>
      <c r="P119" s="1">
        <v>13</v>
      </c>
      <c r="Q119" s="1">
        <v>1.61</v>
      </c>
      <c r="R119" s="1">
        <v>0.53500000000000003</v>
      </c>
      <c r="S119" s="1">
        <f t="shared" si="20"/>
        <v>116.11000597612001</v>
      </c>
      <c r="T119" s="1">
        <v>3.8714</v>
      </c>
      <c r="U119" s="1">
        <v>7.7469999999999999</v>
      </c>
    </row>
    <row r="120" spans="1:21">
      <c r="A120" s="1">
        <v>0.63</v>
      </c>
      <c r="B120" s="1">
        <f t="shared" si="17"/>
        <v>1.1233333333333333</v>
      </c>
      <c r="C120" s="1">
        <v>1.64</v>
      </c>
      <c r="D120" s="1">
        <v>6</v>
      </c>
      <c r="E120" s="1">
        <v>1</v>
      </c>
      <c r="F120" s="1">
        <f>A120*6.941+B120*138.91+C120*47.867+D120*16+Sheet4!A120*87.62+Sheet4!B120*40.078+Sheet4!C120*26.982+Sheet4!D120*114.82+Sheet4!E120*58.993+Sheet4!F120*19+Sheet4!G120*23+Sheet4!H120*50.942+Sheet4!I120*92.906+Sheet4!J120*144.24+Sheet4!K120*107.87+Sheet4!L120*180.95+Sheet4!M120*91.224+Sheet4!N120*178.49</f>
        <v>347.8683033333333</v>
      </c>
      <c r="G120" s="1">
        <f>Sheet4!A120+Sheet4!C120+Sheet4!D120+Sheet4!E120+Sheet4!F120+Sheet4!G120+Sheet4!H120+Sheet4!I120+Sheet4!J120+Sheet4!K120+Sheet4!L120+Sheet4!M120+Sheet4!N120+Sheet4!O120+Sheet4!P120+Sheet4!Q120+Sheet4!R120+Sheet4!S120</f>
        <v>0.48000000000000009</v>
      </c>
      <c r="H120" s="1">
        <f t="shared" si="18"/>
        <v>0.24666666666666681</v>
      </c>
      <c r="I120" s="1">
        <v>303</v>
      </c>
      <c r="J120" s="2">
        <f t="shared" si="19"/>
        <v>6.3679552090791501E-4</v>
      </c>
      <c r="K120" s="1">
        <v>-3.1960000000000002</v>
      </c>
      <c r="L120" s="1">
        <v>0.47</v>
      </c>
      <c r="M120" s="1">
        <v>0</v>
      </c>
      <c r="N120" s="1">
        <v>0</v>
      </c>
      <c r="O120" s="1">
        <v>0</v>
      </c>
      <c r="P120" s="1">
        <v>13</v>
      </c>
      <c r="Q120" s="1">
        <v>1.61</v>
      </c>
      <c r="R120" s="1">
        <v>0.53500000000000003</v>
      </c>
      <c r="S120" s="1">
        <f t="shared" si="20"/>
        <v>116.11000597612001</v>
      </c>
      <c r="T120" s="1">
        <v>3.8714</v>
      </c>
      <c r="U120" s="1">
        <v>7.7469999999999999</v>
      </c>
    </row>
    <row r="121" spans="1:21">
      <c r="A121" s="1">
        <v>0.63</v>
      </c>
      <c r="B121" s="1">
        <f t="shared" si="17"/>
        <v>1.1233333333333333</v>
      </c>
      <c r="C121" s="1">
        <v>1.62</v>
      </c>
      <c r="D121" s="1">
        <v>6</v>
      </c>
      <c r="E121" s="1">
        <v>1</v>
      </c>
      <c r="F121" s="1">
        <f>A121*6.941+B121*138.91+C121*47.867+D121*16+Sheet4!A121*87.62+Sheet4!B121*40.078+Sheet4!C121*26.982+Sheet4!D121*114.82+Sheet4!E121*58.993+Sheet4!F121*19+Sheet4!G121*23+Sheet4!H121*50.942+Sheet4!I121*92.906+Sheet4!J121*144.24+Sheet4!K121*107.87+Sheet4!L121*180.95+Sheet4!M121*91.224+Sheet4!N121*178.49</f>
        <v>347.6304833333333</v>
      </c>
      <c r="G121" s="1">
        <f>Sheet4!A121+Sheet4!C121+Sheet4!D121+Sheet4!E121+Sheet4!F121+Sheet4!G121+Sheet4!H121+Sheet4!I121+Sheet4!J121+Sheet4!K121+Sheet4!L121+Sheet4!M121+Sheet4!N121+Sheet4!O121+Sheet4!P121+Sheet4!Q121+Sheet4!R121+Sheet4!S121</f>
        <v>0.50666666666666649</v>
      </c>
      <c r="H121" s="1">
        <f t="shared" si="18"/>
        <v>0.24666666666666681</v>
      </c>
      <c r="I121" s="1">
        <v>303</v>
      </c>
      <c r="J121" s="2">
        <f t="shared" si="19"/>
        <v>5.0350060878790435E-4</v>
      </c>
      <c r="K121" s="1">
        <v>-3.298</v>
      </c>
      <c r="L121" s="1">
        <v>0.47</v>
      </c>
      <c r="M121" s="1">
        <v>0</v>
      </c>
      <c r="N121" s="1">
        <v>0</v>
      </c>
      <c r="O121" s="1">
        <v>0</v>
      </c>
      <c r="P121" s="1">
        <v>13</v>
      </c>
      <c r="Q121" s="1">
        <v>1.61</v>
      </c>
      <c r="R121" s="1">
        <v>0.53500000000000003</v>
      </c>
      <c r="S121" s="1">
        <f t="shared" si="20"/>
        <v>116.11000597612001</v>
      </c>
      <c r="T121" s="1">
        <v>3.8714</v>
      </c>
      <c r="U121" s="1">
        <v>7.7469999999999999</v>
      </c>
    </row>
    <row r="122" spans="1:21">
      <c r="A122" s="1">
        <v>0.63</v>
      </c>
      <c r="B122" s="1">
        <f t="shared" si="17"/>
        <v>1.1233333333333333</v>
      </c>
      <c r="C122" s="1">
        <v>1.6</v>
      </c>
      <c r="D122" s="1">
        <v>6</v>
      </c>
      <c r="E122" s="1">
        <v>1</v>
      </c>
      <c r="F122" s="1">
        <f>A122*6.941+B122*138.91+C122*47.867+D122*16+Sheet4!A122*87.62+Sheet4!B122*40.078+Sheet4!C122*26.982+Sheet4!D122*114.82+Sheet4!E122*58.993+Sheet4!F122*19+Sheet4!G122*23+Sheet4!H122*50.942+Sheet4!I122*92.906+Sheet4!J122*144.24+Sheet4!K122*107.87+Sheet4!L122*180.95+Sheet4!M122*91.224+Sheet4!N122*178.49</f>
        <v>347.3926633333333</v>
      </c>
      <c r="G122" s="1">
        <f>Sheet4!A122+Sheet4!C122+Sheet4!D122+Sheet4!E122+Sheet4!F122+Sheet4!G122+Sheet4!H122+Sheet4!I122+Sheet4!J122+Sheet4!K122+Sheet4!L122+Sheet4!M122+Sheet4!N122+Sheet4!O122+Sheet4!P122+Sheet4!Q122+Sheet4!R122+Sheet4!S122</f>
        <v>0.53333333333333321</v>
      </c>
      <c r="H122" s="1">
        <f t="shared" si="18"/>
        <v>0.24666666666666681</v>
      </c>
      <c r="I122" s="1">
        <v>303</v>
      </c>
      <c r="J122" s="2">
        <f>10^(K122)</f>
        <v>5.0118723362727209E-4</v>
      </c>
      <c r="K122" s="1">
        <v>-3.3</v>
      </c>
      <c r="L122" s="1">
        <v>0.47</v>
      </c>
      <c r="M122" s="1">
        <v>0</v>
      </c>
      <c r="N122" s="1">
        <v>0</v>
      </c>
      <c r="O122" s="1">
        <v>0</v>
      </c>
      <c r="P122" s="1">
        <v>13</v>
      </c>
      <c r="Q122" s="1">
        <v>1.61</v>
      </c>
      <c r="R122" s="1">
        <v>0.53500000000000003</v>
      </c>
      <c r="S122" s="1">
        <f t="shared" si="20"/>
        <v>116.11600440075</v>
      </c>
      <c r="T122" s="1">
        <v>3.8715000000000002</v>
      </c>
      <c r="U122" s="1">
        <v>7.7469999999999999</v>
      </c>
    </row>
    <row r="123" spans="1:21">
      <c r="A123" s="1">
        <v>0.63</v>
      </c>
      <c r="B123" s="1">
        <f t="shared" si="17"/>
        <v>1.1233333333333333</v>
      </c>
      <c r="C123" s="1">
        <v>1.58</v>
      </c>
      <c r="D123" s="1">
        <v>6</v>
      </c>
      <c r="E123" s="1">
        <v>1</v>
      </c>
      <c r="F123" s="1">
        <f>A123*6.941+B123*138.91+C123*47.867+D123*16+Sheet4!A123*87.62+Sheet4!B123*40.078+Sheet4!C123*26.982+Sheet4!D123*114.82+Sheet4!E123*58.993+Sheet4!F123*19+Sheet4!G123*23+Sheet4!H123*50.942+Sheet4!I123*92.906+Sheet4!J123*144.24+Sheet4!K123*107.87+Sheet4!L123*180.95+Sheet4!M123*91.224+Sheet4!N123*178.49</f>
        <v>347.1548433333333</v>
      </c>
      <c r="G123" s="1">
        <f>Sheet4!A123+Sheet4!C123+Sheet4!D123+Sheet4!E123+Sheet4!F123+Sheet4!G123+Sheet4!H123+Sheet4!I123+Sheet4!J123+Sheet4!K123+Sheet4!L123+Sheet4!M123+Sheet4!N123+Sheet4!O123+Sheet4!P123+Sheet4!Q123+Sheet4!R123+Sheet4!S123</f>
        <v>0.55999999999999983</v>
      </c>
      <c r="H123" s="1">
        <f t="shared" si="18"/>
        <v>0.24666666666666681</v>
      </c>
      <c r="I123" s="1">
        <v>303</v>
      </c>
      <c r="J123" s="2">
        <f t="shared" si="19"/>
        <v>6.9984199600227348E-4</v>
      </c>
      <c r="K123" s="1">
        <v>-3.1549999999999998</v>
      </c>
      <c r="L123" s="1">
        <v>0.47</v>
      </c>
      <c r="M123" s="1">
        <v>0</v>
      </c>
      <c r="N123" s="1">
        <v>0</v>
      </c>
      <c r="O123" s="1">
        <v>0</v>
      </c>
      <c r="P123" s="1">
        <v>13</v>
      </c>
      <c r="Q123" s="1">
        <v>1.61</v>
      </c>
      <c r="R123" s="1">
        <v>0.53500000000000003</v>
      </c>
      <c r="S123" s="1">
        <f t="shared" si="20"/>
        <v>116.11000597612001</v>
      </c>
      <c r="T123" s="1">
        <v>3.8714</v>
      </c>
      <c r="U123" s="1">
        <v>7.7469999999999999</v>
      </c>
    </row>
    <row r="124" spans="1:21">
      <c r="A124" s="1">
        <v>0.63</v>
      </c>
      <c r="B124" s="1">
        <f t="shared" si="17"/>
        <v>1.1233333333333333</v>
      </c>
      <c r="C124" s="1">
        <v>1.56</v>
      </c>
      <c r="D124" s="1">
        <v>6</v>
      </c>
      <c r="E124" s="1">
        <v>1</v>
      </c>
      <c r="F124" s="1">
        <f>A124*6.941+B124*138.91+C124*47.867+D124*16+Sheet4!A124*87.62+Sheet4!B124*40.078+Sheet4!C124*26.982+Sheet4!D124*114.82+Sheet4!E124*58.993+Sheet4!F124*19+Sheet4!G124*23+Sheet4!H124*50.942+Sheet4!I124*92.906+Sheet4!J124*144.24+Sheet4!K124*107.87+Sheet4!L124*180.95+Sheet4!M124*91.224+Sheet4!N124*178.49</f>
        <v>346.9170233333333</v>
      </c>
      <c r="G124" s="1">
        <f>Sheet4!A124+Sheet4!C124+Sheet4!D124+Sheet4!E124+Sheet4!F124+Sheet4!G124+Sheet4!H124+Sheet4!I124+Sheet4!J124+Sheet4!K124+Sheet4!L124+Sheet4!M124+Sheet4!N124+Sheet4!O124+Sheet4!P124+Sheet4!Q124+Sheet4!R124+Sheet4!S124</f>
        <v>0.58666666666666656</v>
      </c>
      <c r="H124" s="1">
        <f t="shared" si="18"/>
        <v>0.24666666666666681</v>
      </c>
      <c r="I124" s="1">
        <v>303</v>
      </c>
      <c r="J124" s="2">
        <f t="shared" si="19"/>
        <v>5.0118723362727209E-4</v>
      </c>
      <c r="K124" s="1">
        <v>-3.3</v>
      </c>
      <c r="L124" s="1">
        <v>0.47</v>
      </c>
      <c r="M124" s="1">
        <v>0</v>
      </c>
      <c r="N124" s="1">
        <v>0</v>
      </c>
      <c r="O124" s="1">
        <v>0</v>
      </c>
      <c r="P124" s="1">
        <v>13</v>
      </c>
      <c r="Q124" s="1">
        <v>1.61</v>
      </c>
      <c r="R124" s="1">
        <v>0.53500000000000003</v>
      </c>
      <c r="S124" s="1">
        <f t="shared" si="20"/>
        <v>116.10400770643001</v>
      </c>
      <c r="T124" s="1">
        <v>3.8713000000000002</v>
      </c>
      <c r="U124" s="1">
        <v>7.7469999999999999</v>
      </c>
    </row>
    <row r="125" spans="1:21">
      <c r="A125" s="1">
        <v>0.63</v>
      </c>
      <c r="B125" s="1">
        <f t="shared" si="17"/>
        <v>1.1233333333333333</v>
      </c>
      <c r="C125" s="1">
        <v>1.54</v>
      </c>
      <c r="D125" s="1">
        <v>6</v>
      </c>
      <c r="E125" s="1">
        <v>1</v>
      </c>
      <c r="F125" s="1">
        <f>A125*6.941+B125*138.91+C125*47.867+D125*16+Sheet4!A125*87.62+Sheet4!B125*40.078+Sheet4!C125*26.982+Sheet4!D125*114.82+Sheet4!E125*58.993+Sheet4!F125*19+Sheet4!G125*23+Sheet4!H125*50.942+Sheet4!I125*92.906+Sheet4!J125*144.24+Sheet4!K125*107.87+Sheet4!L125*180.95+Sheet4!M125*91.224+Sheet4!N125*178.49</f>
        <v>346.67920333333331</v>
      </c>
      <c r="G125" s="1">
        <f>Sheet4!A125+Sheet4!C125+Sheet4!D125+Sheet4!E125+Sheet4!F125+Sheet4!G125+Sheet4!H125+Sheet4!I125+Sheet4!J125+Sheet4!K125+Sheet4!L125+Sheet4!M125+Sheet4!N125+Sheet4!O125+Sheet4!P125+Sheet4!Q125+Sheet4!R125+Sheet4!S125</f>
        <v>0.61333333333333329</v>
      </c>
      <c r="H125" s="1">
        <f t="shared" si="18"/>
        <v>0.24666666666666681</v>
      </c>
      <c r="I125" s="1">
        <v>303</v>
      </c>
      <c r="J125" s="2">
        <f t="shared" si="19"/>
        <v>3.9994474976109712E-4</v>
      </c>
      <c r="K125" s="1">
        <v>-3.3980000000000001</v>
      </c>
      <c r="L125" s="1">
        <v>0.47</v>
      </c>
      <c r="M125" s="1">
        <v>0</v>
      </c>
      <c r="N125" s="1">
        <v>0</v>
      </c>
      <c r="O125" s="1">
        <v>0</v>
      </c>
      <c r="P125" s="1">
        <v>13</v>
      </c>
      <c r="Q125" s="1">
        <v>1.61</v>
      </c>
      <c r="R125" s="1">
        <v>0.53500000000000003</v>
      </c>
      <c r="S125" s="1">
        <f t="shared" si="20"/>
        <v>116.10400770643001</v>
      </c>
      <c r="T125" s="1">
        <v>3.8713000000000002</v>
      </c>
      <c r="U125" s="1">
        <v>7.7469999999999999</v>
      </c>
    </row>
    <row r="126" spans="1:21">
      <c r="A126" s="1">
        <v>0.63</v>
      </c>
      <c r="B126" s="1">
        <f t="shared" si="17"/>
        <v>1.1233333333333333</v>
      </c>
      <c r="C126" s="1">
        <v>1.52</v>
      </c>
      <c r="D126" s="1">
        <v>6</v>
      </c>
      <c r="E126" s="1">
        <v>1</v>
      </c>
      <c r="F126" s="1">
        <f>A126*6.941+B126*138.91+C126*47.867+D126*16+Sheet4!A126*87.62+Sheet4!B126*40.078+Sheet4!C126*26.982+Sheet4!D126*114.82+Sheet4!E126*58.993+Sheet4!F126*19+Sheet4!G126*23+Sheet4!H126*50.942+Sheet4!I126*92.906+Sheet4!J126*144.24+Sheet4!K126*107.87+Sheet4!L126*180.95+Sheet4!M126*91.224+Sheet4!N126*178.49</f>
        <v>346.44138333333331</v>
      </c>
      <c r="G126" s="1">
        <f>Sheet4!A126+Sheet4!C126+Sheet4!D126+Sheet4!E126+Sheet4!F126+Sheet4!G126+Sheet4!H126+Sheet4!I126+Sheet4!J126+Sheet4!K126+Sheet4!L126+Sheet4!M126+Sheet4!N126+Sheet4!O126+Sheet4!P126+Sheet4!Q126+Sheet4!R126+Sheet4!S126</f>
        <v>0.6399999999999999</v>
      </c>
      <c r="H126" s="1">
        <f t="shared" si="18"/>
        <v>0.24666666666666681</v>
      </c>
      <c r="I126" s="1">
        <v>303</v>
      </c>
      <c r="J126" s="2">
        <f t="shared" si="19"/>
        <v>3.3496543915782746E-4</v>
      </c>
      <c r="K126" s="1">
        <v>-3.4750000000000001</v>
      </c>
      <c r="L126" s="1">
        <v>0.47</v>
      </c>
      <c r="M126" s="1">
        <v>0</v>
      </c>
      <c r="N126" s="1">
        <v>0</v>
      </c>
      <c r="O126" s="1">
        <v>0</v>
      </c>
      <c r="P126" s="1">
        <v>13</v>
      </c>
      <c r="Q126" s="1">
        <v>1.61</v>
      </c>
      <c r="R126" s="1">
        <v>0.53500000000000003</v>
      </c>
      <c r="S126" s="1">
        <f t="shared" si="20"/>
        <v>116.10400770643001</v>
      </c>
      <c r="T126" s="1">
        <v>3.8713000000000002</v>
      </c>
      <c r="U126" s="1">
        <v>7.7469999999999999</v>
      </c>
    </row>
    <row r="127" spans="1:21">
      <c r="A127" s="1">
        <v>0.63</v>
      </c>
      <c r="B127" s="1">
        <f t="shared" si="17"/>
        <v>1.1233333333333333</v>
      </c>
      <c r="C127" s="1">
        <v>1.5</v>
      </c>
      <c r="D127" s="1">
        <v>6</v>
      </c>
      <c r="E127" s="1">
        <v>1</v>
      </c>
      <c r="F127" s="1">
        <f>A127*6.941+B127*138.91+C127*47.867+D127*16+Sheet4!A127*87.62+Sheet4!B127*40.078+Sheet4!C127*26.982+Sheet4!D127*114.82+Sheet4!E127*58.993+Sheet4!F127*19+Sheet4!G127*23+Sheet4!H127*50.942+Sheet4!I127*92.906+Sheet4!J127*144.24+Sheet4!K127*107.87+Sheet4!L127*180.95+Sheet4!M127*91.224+Sheet4!N127*178.49</f>
        <v>346.20356333333331</v>
      </c>
      <c r="G127" s="1">
        <f>Sheet4!A127+Sheet4!C127+Sheet4!D127+Sheet4!E127+Sheet4!F127+Sheet4!G127+Sheet4!H127+Sheet4!I127+Sheet4!J127+Sheet4!K127+Sheet4!L127+Sheet4!M127+Sheet4!N127+Sheet4!O127+Sheet4!P127+Sheet4!Q127+Sheet4!R127+Sheet4!S127</f>
        <v>0.66666666666666663</v>
      </c>
      <c r="H127" s="1">
        <f t="shared" si="18"/>
        <v>0.24666666666666681</v>
      </c>
      <c r="I127" s="1">
        <v>303</v>
      </c>
      <c r="J127" s="2">
        <f t="shared" si="19"/>
        <v>3.1622776601683783E-4</v>
      </c>
      <c r="K127" s="1">
        <v>-3.5</v>
      </c>
      <c r="L127" s="1">
        <v>0.47</v>
      </c>
      <c r="M127" s="1">
        <v>0</v>
      </c>
      <c r="N127" s="1">
        <v>0</v>
      </c>
      <c r="O127" s="1">
        <v>0</v>
      </c>
      <c r="P127" s="1">
        <v>13</v>
      </c>
      <c r="Q127" s="1">
        <v>1.61</v>
      </c>
      <c r="R127" s="1">
        <v>0.53500000000000003</v>
      </c>
      <c r="S127" s="1">
        <f t="shared" si="20"/>
        <v>116.09800959168</v>
      </c>
      <c r="T127" s="1">
        <v>3.8712</v>
      </c>
      <c r="U127" s="1">
        <v>7.7469999999999999</v>
      </c>
    </row>
    <row r="128" spans="1:21">
      <c r="A128" s="1">
        <v>0.63</v>
      </c>
      <c r="B128" s="1">
        <f t="shared" si="17"/>
        <v>1.1233333333333333</v>
      </c>
      <c r="C128" s="1">
        <v>1.48</v>
      </c>
      <c r="D128" s="1">
        <v>6</v>
      </c>
      <c r="E128" s="1">
        <v>1</v>
      </c>
      <c r="F128" s="1">
        <f>A128*6.941+B128*138.91+C128*47.867+D128*16+Sheet4!A128*87.62+Sheet4!B128*40.078+Sheet4!C128*26.982+Sheet4!D128*114.82+Sheet4!E128*58.993+Sheet4!F128*19+Sheet4!G128*23+Sheet4!H128*50.942+Sheet4!I128*92.906+Sheet4!J128*144.24+Sheet4!K128*107.87+Sheet4!L128*180.95+Sheet4!M128*91.224+Sheet4!N128*178.49</f>
        <v>345.96574333333331</v>
      </c>
      <c r="G128" s="1">
        <f>Sheet4!A128+Sheet4!C128+Sheet4!D128+Sheet4!E128+Sheet4!F128+Sheet4!G128+Sheet4!H128+Sheet4!I128+Sheet4!J128+Sheet4!K128+Sheet4!L128+Sheet4!M128+Sheet4!N128+Sheet4!O128+Sheet4!P128+Sheet4!Q128+Sheet4!R128+Sheet4!S128</f>
        <v>0.69333333333333336</v>
      </c>
      <c r="H128" s="1">
        <f t="shared" si="18"/>
        <v>0.24666666666666681</v>
      </c>
      <c r="I128" s="1">
        <v>303</v>
      </c>
      <c r="J128" s="2">
        <f>10^(K128)</f>
        <v>2.9512092266663857E-4</v>
      </c>
      <c r="K128" s="1">
        <v>-3.53</v>
      </c>
      <c r="L128" s="1">
        <v>0.47</v>
      </c>
      <c r="M128" s="1">
        <v>0</v>
      </c>
      <c r="N128" s="1">
        <v>0</v>
      </c>
      <c r="O128" s="1">
        <v>0</v>
      </c>
      <c r="P128" s="1">
        <v>13</v>
      </c>
      <c r="Q128" s="1">
        <v>1.61</v>
      </c>
      <c r="R128" s="1">
        <v>0.53500000000000003</v>
      </c>
      <c r="S128" s="1">
        <f t="shared" si="20"/>
        <v>116.10400770643001</v>
      </c>
      <c r="T128" s="1">
        <v>3.8713000000000002</v>
      </c>
      <c r="U128" s="1">
        <v>7.7469999999999999</v>
      </c>
    </row>
    <row r="129" spans="1:22">
      <c r="A129" s="1">
        <v>0.63</v>
      </c>
      <c r="B129" s="1">
        <f t="shared" si="17"/>
        <v>1.1233333333333333</v>
      </c>
      <c r="C129" s="1">
        <v>1.46</v>
      </c>
      <c r="D129" s="1">
        <v>6</v>
      </c>
      <c r="E129" s="1">
        <v>1</v>
      </c>
      <c r="F129" s="1">
        <f>A129*6.941+B129*138.91+C129*47.867+D129*16+Sheet4!A129*87.62+Sheet4!B129*40.078+Sheet4!C129*26.982+Sheet4!D129*114.82+Sheet4!E129*58.993+Sheet4!F129*19+Sheet4!G129*23+Sheet4!H129*50.942+Sheet4!I129*92.906+Sheet4!J129*144.24+Sheet4!K129*107.87+Sheet4!L129*180.95+Sheet4!M129*91.224+Sheet4!N129*178.49</f>
        <v>345.72792333333331</v>
      </c>
      <c r="G129" s="1">
        <f>Sheet4!A129+Sheet4!C129+Sheet4!D129+Sheet4!E129+Sheet4!F129+Sheet4!G129+Sheet4!H129+Sheet4!I129+Sheet4!J129+Sheet4!K129+Sheet4!L129+Sheet4!M129+Sheet4!N129+Sheet4!O129+Sheet4!P129+Sheet4!Q129+Sheet4!R129+Sheet4!S129</f>
        <v>0.72</v>
      </c>
      <c r="H129" s="1">
        <f t="shared" si="18"/>
        <v>0.24666666666666681</v>
      </c>
      <c r="I129" s="1">
        <v>303</v>
      </c>
      <c r="J129" s="2">
        <f>10^(K128)</f>
        <v>2.9512092266663857E-4</v>
      </c>
      <c r="K129" s="1">
        <v>-3.536</v>
      </c>
      <c r="L129" s="1">
        <v>0.47</v>
      </c>
      <c r="M129" s="1">
        <v>0</v>
      </c>
      <c r="N129" s="1">
        <v>0</v>
      </c>
      <c r="O129" s="1">
        <v>0</v>
      </c>
      <c r="P129" s="1">
        <v>13</v>
      </c>
      <c r="Q129" s="1">
        <v>1.61</v>
      </c>
      <c r="R129" s="1">
        <v>0.53500000000000003</v>
      </c>
      <c r="S129" s="1">
        <f t="shared" si="20"/>
        <v>116.10400770643001</v>
      </c>
      <c r="T129" s="1">
        <v>3.8713000000000002</v>
      </c>
      <c r="U129" s="1">
        <v>7.7469999999999999</v>
      </c>
    </row>
    <row r="130" spans="1:22">
      <c r="A130" s="1">
        <v>0.63</v>
      </c>
      <c r="B130" s="1">
        <f t="shared" si="17"/>
        <v>1.1233333333333333</v>
      </c>
      <c r="C130" s="1">
        <v>1.44</v>
      </c>
      <c r="D130" s="1">
        <v>6</v>
      </c>
      <c r="E130" s="1">
        <v>1</v>
      </c>
      <c r="F130" s="1">
        <f>A130*6.941+B130*138.91+C130*47.867+D130*16+Sheet4!A130*87.62+Sheet4!B130*40.078+Sheet4!C130*26.982+Sheet4!D130*114.82+Sheet4!E130*58.993+Sheet4!F130*19+Sheet4!G130*23+Sheet4!H130*50.942+Sheet4!I130*92.906+Sheet4!J130*144.24+Sheet4!K130*107.87+Sheet4!L130*180.95+Sheet4!M130*91.224+Sheet4!N130*178.49</f>
        <v>345.49010333333331</v>
      </c>
      <c r="G130" s="1">
        <f>Sheet4!A130+Sheet4!C130+Sheet4!D130+Sheet4!E130+Sheet4!F130+Sheet4!G130+Sheet4!H130+Sheet4!I130+Sheet4!J130+Sheet4!K130+Sheet4!L130+Sheet4!M130+Sheet4!N130+Sheet4!O130+Sheet4!P130+Sheet4!Q130+Sheet4!R130+Sheet4!S130</f>
        <v>0.7466666666666667</v>
      </c>
      <c r="H130" s="1">
        <f t="shared" si="18"/>
        <v>0.24666666666666681</v>
      </c>
      <c r="I130" s="1">
        <v>303</v>
      </c>
      <c r="J130" s="2">
        <f t="shared" si="19"/>
        <v>2.2284351492703032E-4</v>
      </c>
      <c r="K130" s="1">
        <v>-3.6520000000000001</v>
      </c>
      <c r="L130" s="1">
        <v>0.47</v>
      </c>
      <c r="M130" s="1">
        <v>0</v>
      </c>
      <c r="N130" s="1">
        <v>0</v>
      </c>
      <c r="O130" s="1">
        <v>0</v>
      </c>
      <c r="P130" s="1">
        <v>13</v>
      </c>
      <c r="Q130" s="1">
        <v>1.61</v>
      </c>
      <c r="R130" s="1">
        <v>0.53500000000000003</v>
      </c>
      <c r="S130" s="1">
        <f t="shared" si="20"/>
        <v>116.10400770643001</v>
      </c>
      <c r="T130" s="1">
        <v>3.8713000000000002</v>
      </c>
      <c r="U130" s="1">
        <v>7.7469999999999999</v>
      </c>
    </row>
    <row r="131" spans="1:22">
      <c r="A131" s="1">
        <v>0.63</v>
      </c>
      <c r="B131" s="1">
        <f t="shared" si="17"/>
        <v>1.1233333333333333</v>
      </c>
      <c r="C131" s="1">
        <v>1.42</v>
      </c>
      <c r="D131" s="1">
        <v>6</v>
      </c>
      <c r="E131" s="1">
        <v>1</v>
      </c>
      <c r="F131" s="1">
        <f>A131*6.941+B131*138.91+C131*47.867+D131*16+Sheet4!A131*87.62+Sheet4!B131*40.078+Sheet4!C131*26.982+Sheet4!D131*114.82+Sheet4!E131*58.993+Sheet4!F131*19+Sheet4!G131*23+Sheet4!H131*50.942+Sheet4!I131*92.906+Sheet4!J131*144.24+Sheet4!K131*107.87+Sheet4!L131*180.95+Sheet4!M131*91.224+Sheet4!N131*178.49</f>
        <v>345.25228333333331</v>
      </c>
      <c r="G131" s="1">
        <f>Sheet4!A131+Sheet4!C131+Sheet4!D131+Sheet4!E131+Sheet4!F131+Sheet4!G131+Sheet4!H131+Sheet4!I131+Sheet4!J131+Sheet4!K131+Sheet4!L131+Sheet4!M131+Sheet4!N131+Sheet4!O131+Sheet4!P131+Sheet4!Q131+Sheet4!R131+Sheet4!S131</f>
        <v>0.77333333333333343</v>
      </c>
      <c r="H131" s="1">
        <f t="shared" si="18"/>
        <v>0.24666666666666681</v>
      </c>
      <c r="I131" s="1">
        <v>303</v>
      </c>
      <c r="J131" s="2">
        <f t="shared" si="19"/>
        <v>2.0511621788255638E-4</v>
      </c>
      <c r="K131" s="1">
        <v>-3.6880000000000002</v>
      </c>
      <c r="L131" s="1">
        <v>0.47</v>
      </c>
      <c r="M131" s="1">
        <v>0</v>
      </c>
      <c r="N131" s="1">
        <v>0</v>
      </c>
      <c r="O131" s="1">
        <v>0</v>
      </c>
      <c r="P131" s="1">
        <v>13</v>
      </c>
      <c r="Q131" s="1">
        <v>1.61</v>
      </c>
      <c r="R131" s="1">
        <v>0.53500000000000003</v>
      </c>
      <c r="S131" s="1">
        <f t="shared" si="20"/>
        <v>116.08001617706999</v>
      </c>
      <c r="T131" s="1">
        <v>3.8708999999999998</v>
      </c>
      <c r="U131" s="1">
        <v>7.7469999999999999</v>
      </c>
    </row>
    <row r="132" spans="1:22">
      <c r="A132" s="1">
        <v>0.63</v>
      </c>
      <c r="B132" s="1">
        <f t="shared" si="17"/>
        <v>1.1233333333333333</v>
      </c>
      <c r="C132" s="1">
        <v>1.4</v>
      </c>
      <c r="D132" s="1">
        <v>6</v>
      </c>
      <c r="E132" s="1">
        <v>1</v>
      </c>
      <c r="F132" s="1">
        <f>A132*6.941+B132*138.91+C132*47.867+D132*16+Sheet4!A132*87.62+Sheet4!B132*40.078+Sheet4!C132*26.982+Sheet4!D132*114.82+Sheet4!E132*58.993+Sheet4!F132*19+Sheet4!G132*23+Sheet4!H132*50.942+Sheet4!I132*92.906+Sheet4!J132*144.24+Sheet4!K132*107.87+Sheet4!L132*180.95+Sheet4!M132*91.224+Sheet4!N132*178.49</f>
        <v>345.01446333333331</v>
      </c>
      <c r="G132" s="1">
        <f>Sheet4!A132+Sheet4!C132+Sheet4!D132+Sheet4!E132+Sheet4!F132+Sheet4!G132+Sheet4!H132+Sheet4!I132+Sheet4!J132+Sheet4!K132+Sheet4!L132+Sheet4!M132+Sheet4!N132+Sheet4!O132+Sheet4!P132+Sheet4!Q132+Sheet4!R132+Sheet4!S132</f>
        <v>0.8</v>
      </c>
      <c r="H132" s="1">
        <f t="shared" si="18"/>
        <v>0.24666666666666681</v>
      </c>
      <c r="I132" s="1">
        <v>303</v>
      </c>
      <c r="J132" s="2">
        <f t="shared" si="19"/>
        <v>2.0511621788255638E-4</v>
      </c>
      <c r="K132" s="1">
        <v>-3.6880000000000002</v>
      </c>
      <c r="L132" s="1">
        <v>0.47</v>
      </c>
      <c r="M132" s="1">
        <v>0</v>
      </c>
      <c r="N132" s="1">
        <v>0</v>
      </c>
      <c r="O132" s="1">
        <v>0</v>
      </c>
      <c r="P132" s="1">
        <v>13</v>
      </c>
      <c r="Q132" s="1">
        <v>1.61</v>
      </c>
      <c r="R132" s="1">
        <v>0.53500000000000003</v>
      </c>
      <c r="S132" s="1">
        <f t="shared" si="20"/>
        <v>116.08001617706999</v>
      </c>
      <c r="T132" s="1">
        <v>3.8708999999999998</v>
      </c>
      <c r="U132" s="1">
        <v>7.7469999999999999</v>
      </c>
    </row>
    <row r="133" spans="1:22">
      <c r="A133" s="1">
        <v>0.5</v>
      </c>
      <c r="B133" s="1">
        <v>0.5</v>
      </c>
      <c r="C133" s="1">
        <v>1</v>
      </c>
      <c r="D133" s="1">
        <v>3</v>
      </c>
      <c r="E133" s="1">
        <v>1</v>
      </c>
      <c r="F133" s="1">
        <f>A133*6.941+B133*138.91+C133*47.867+D133*16+Sheet4!A133*87.62+Sheet4!B133*40.078+Sheet4!C133*26.982+Sheet4!D133*114.82+Sheet4!E133*58.993+Sheet4!F133*19+Sheet4!G133*23+Sheet4!H133*50.942+Sheet4!I133*92.906+Sheet4!J133*144.24+Sheet4!K133*107.87+Sheet4!L133*180.95+Sheet4!M133*91.224+Sheet4!N133*178.49</f>
        <v>168.79249999999999</v>
      </c>
      <c r="G133" s="1">
        <f>Sheet4!A133+Sheet4!C133+Sheet4!D133+Sheet4!E133+Sheet4!F133+Sheet4!G133+Sheet4!H133+Sheet4!I133+Sheet4!J133+Sheet4!K133+Sheet4!L133+Sheet4!M133+Sheet4!N133+Sheet4!O133+Sheet4!P133+Sheet4!Q133+Sheet4!R133+Sheet4!S133</f>
        <v>0</v>
      </c>
      <c r="H133" s="1">
        <v>0</v>
      </c>
      <c r="I133" s="1">
        <v>298</v>
      </c>
      <c r="J133" s="2">
        <v>4.8999999999999998E-4</v>
      </c>
      <c r="K133" s="1">
        <f>LOG10(J133)</f>
        <v>-3.3098039199714862</v>
      </c>
      <c r="L133" s="1">
        <v>0.35</v>
      </c>
      <c r="M133" s="1">
        <v>0</v>
      </c>
      <c r="N133" s="1">
        <v>0</v>
      </c>
      <c r="O133" s="1">
        <v>0</v>
      </c>
      <c r="P133" s="1">
        <v>41</v>
      </c>
      <c r="Q133" s="1">
        <v>1.59</v>
      </c>
      <c r="R133" s="1">
        <v>0.64</v>
      </c>
      <c r="S133" s="1">
        <f t="shared" si="20"/>
        <v>115.49596017960002</v>
      </c>
      <c r="T133" s="1">
        <v>3.8610000000000002</v>
      </c>
      <c r="U133" s="1">
        <v>7.7476000000000003</v>
      </c>
      <c r="V133" s="7" t="s">
        <v>53</v>
      </c>
    </row>
    <row r="134" spans="1:22">
      <c r="A134" s="1">
        <v>0.49</v>
      </c>
      <c r="B134" s="1">
        <v>0.5</v>
      </c>
      <c r="C134" s="1">
        <v>0.99</v>
      </c>
      <c r="D134" s="1">
        <v>3</v>
      </c>
      <c r="E134" s="1">
        <v>1</v>
      </c>
      <c r="F134" s="1">
        <f>A134*6.941+B134*138.91+C134*47.867+D134*16+Sheet4!A134*87.62+Sheet4!B134*40.078+Sheet4!C134*26.982+Sheet4!D134*114.82+Sheet4!E134*58.993+Sheet4!F134*19+Sheet4!G134*23+Sheet4!H134*50.942+Sheet4!I134*92.906+Sheet4!J134*144.24+Sheet4!K134*107.87+Sheet4!L134*180.95+Sheet4!M134*91.224+Sheet4!N134*178.49</f>
        <v>169.17347999999998</v>
      </c>
      <c r="G134" s="1">
        <f>Sheet4!A134+Sheet4!C134+Sheet4!D134+Sheet4!E134+Sheet4!F134+Sheet4!G134+Sheet4!H134+Sheet4!I134+Sheet4!J134+Sheet4!K134+Sheet4!L134+Sheet4!M134+Sheet4!N134+Sheet4!O134+Sheet4!P134+Sheet4!Q134+Sheet4!R134+Sheet4!S134</f>
        <v>0.01</v>
      </c>
      <c r="H134" s="1">
        <v>0.01</v>
      </c>
      <c r="I134" s="1">
        <v>298</v>
      </c>
      <c r="J134" s="2">
        <v>6.8000000000000005E-4</v>
      </c>
      <c r="K134" s="1">
        <f t="shared" ref="K134:K148" si="21">LOG10(J134)</f>
        <v>-3.1674910872937638</v>
      </c>
      <c r="L134" s="1">
        <v>0.38</v>
      </c>
      <c r="M134" s="1">
        <v>0</v>
      </c>
      <c r="N134" s="1">
        <v>0</v>
      </c>
      <c r="O134" s="1">
        <v>0</v>
      </c>
      <c r="P134" s="1">
        <v>41</v>
      </c>
      <c r="Q134" s="1">
        <v>1.59</v>
      </c>
      <c r="R134" s="1">
        <v>0.64</v>
      </c>
      <c r="S134" s="1">
        <f t="shared" si="20"/>
        <v>116.27210119751099</v>
      </c>
      <c r="T134" s="1">
        <v>3.8660999999999999</v>
      </c>
      <c r="U134" s="1">
        <v>7.7790999999999997</v>
      </c>
    </row>
    <row r="135" spans="1:22">
      <c r="A135" s="1">
        <v>0.47</v>
      </c>
      <c r="B135" s="1">
        <v>0.5</v>
      </c>
      <c r="C135" s="1">
        <v>0.97</v>
      </c>
      <c r="D135" s="1">
        <v>3</v>
      </c>
      <c r="E135" s="1">
        <v>1</v>
      </c>
      <c r="F135" s="1">
        <f>A135*6.941+B135*138.91+C135*47.867+D135*16+Sheet4!A135*87.62+Sheet4!B135*40.078+Sheet4!C135*26.982+Sheet4!D135*114.82+Sheet4!E135*58.993+Sheet4!F135*19+Sheet4!G135*23+Sheet4!H135*50.942+Sheet4!I135*92.906+Sheet4!J135*144.24+Sheet4!K135*107.87+Sheet4!L135*180.95+Sheet4!M135*91.224+Sheet4!N135*178.49</f>
        <v>169.93544</v>
      </c>
      <c r="G135" s="1">
        <f>Sheet4!A135+Sheet4!C135+Sheet4!D135+Sheet4!E135+Sheet4!F135+Sheet4!G135+Sheet4!H135+Sheet4!I135+Sheet4!J135+Sheet4!K135+Sheet4!L135+Sheet4!M135+Sheet4!N135+Sheet4!O135+Sheet4!P135+Sheet4!Q135+Sheet4!R135+Sheet4!S135</f>
        <v>0.03</v>
      </c>
      <c r="H135" s="1">
        <v>0.03</v>
      </c>
      <c r="I135" s="1">
        <v>298</v>
      </c>
      <c r="J135" s="2">
        <v>6.4000000000000005E-4</v>
      </c>
      <c r="K135" s="1">
        <f t="shared" si="21"/>
        <v>-3.1938200260161129</v>
      </c>
      <c r="L135" s="1">
        <v>0.32</v>
      </c>
      <c r="M135" s="1">
        <v>0</v>
      </c>
      <c r="N135" s="1">
        <v>0</v>
      </c>
      <c r="O135" s="1">
        <v>0</v>
      </c>
      <c r="P135" s="1">
        <v>41</v>
      </c>
      <c r="Q135" s="1">
        <v>1.59</v>
      </c>
      <c r="R135" s="1">
        <v>0.64</v>
      </c>
      <c r="S135" s="1">
        <f t="shared" si="20"/>
        <v>116.42473073632499</v>
      </c>
      <c r="T135" s="1">
        <v>3.8664999999999998</v>
      </c>
      <c r="U135" s="1">
        <v>7.7877000000000001</v>
      </c>
    </row>
    <row r="136" spans="1:22">
      <c r="A136" s="1">
        <v>0.45</v>
      </c>
      <c r="B136" s="1">
        <v>0.5</v>
      </c>
      <c r="C136" s="1">
        <v>0.95</v>
      </c>
      <c r="D136" s="1">
        <v>3</v>
      </c>
      <c r="E136" s="1">
        <v>1</v>
      </c>
      <c r="F136" s="1">
        <f>A136*6.941+B136*138.91+C136*47.867+D136*16+Sheet4!A136*87.62+Sheet4!B136*40.078+Sheet4!C136*26.982+Sheet4!D136*114.82+Sheet4!E136*58.993+Sheet4!F136*19+Sheet4!G136*23+Sheet4!H136*50.942+Sheet4!I136*92.906+Sheet4!J136*144.24+Sheet4!K136*107.87+Sheet4!L136*180.95+Sheet4!M136*91.224+Sheet4!N136*178.49</f>
        <v>170.69739999999999</v>
      </c>
      <c r="G136" s="1">
        <f>Sheet4!A136+Sheet4!C136+Sheet4!D136+Sheet4!E136+Sheet4!F136+Sheet4!G136+Sheet4!H136+Sheet4!I136+Sheet4!J136+Sheet4!K136+Sheet4!L136+Sheet4!M136+Sheet4!N136+Sheet4!O136+Sheet4!P136+Sheet4!Q136+Sheet4!R136+Sheet4!S136</f>
        <v>0.05</v>
      </c>
      <c r="H136" s="1">
        <v>0.05</v>
      </c>
      <c r="I136" s="1">
        <v>298</v>
      </c>
      <c r="J136" s="2">
        <v>7.1000000000000002E-4</v>
      </c>
      <c r="K136" s="1">
        <f t="shared" si="21"/>
        <v>-3.1487416512809245</v>
      </c>
      <c r="L136" s="1">
        <v>0.31</v>
      </c>
      <c r="M136" s="1">
        <v>0</v>
      </c>
      <c r="N136" s="1">
        <v>0</v>
      </c>
      <c r="O136" s="1">
        <v>0</v>
      </c>
      <c r="P136" s="1">
        <v>41</v>
      </c>
      <c r="Q136" s="1">
        <v>1.59</v>
      </c>
      <c r="R136" s="1">
        <v>0.64</v>
      </c>
      <c r="S136" s="1">
        <f t="shared" si="20"/>
        <v>116.75092626</v>
      </c>
      <c r="T136" s="1">
        <v>3.87</v>
      </c>
      <c r="U136" s="1">
        <v>7.7953999999999999</v>
      </c>
    </row>
    <row r="137" spans="1:22">
      <c r="A137" s="1">
        <v>0.43</v>
      </c>
      <c r="B137" s="1">
        <v>0.5</v>
      </c>
      <c r="C137" s="1">
        <v>0.93</v>
      </c>
      <c r="D137" s="1">
        <v>3</v>
      </c>
      <c r="E137" s="1">
        <v>1</v>
      </c>
      <c r="F137" s="1">
        <f>A137*6.941+B137*138.91+C137*47.867+D137*16+Sheet4!A137*87.62+Sheet4!B137*40.078+Sheet4!C137*26.982+Sheet4!D137*114.82+Sheet4!E137*58.993+Sheet4!F137*19+Sheet4!G137*23+Sheet4!H137*50.942+Sheet4!I137*92.906+Sheet4!J137*144.24+Sheet4!K137*107.87+Sheet4!L137*180.95+Sheet4!M137*91.224+Sheet4!N137*178.49</f>
        <v>171.45936</v>
      </c>
      <c r="G137" s="1">
        <f>Sheet4!A137+Sheet4!C137+Sheet4!D137+Sheet4!E137+Sheet4!F137+Sheet4!G137+Sheet4!H137+Sheet4!I137+Sheet4!J137+Sheet4!K137+Sheet4!L137+Sheet4!M137+Sheet4!N137+Sheet4!O137+Sheet4!P137+Sheet4!Q137+Sheet4!R137+Sheet4!S137</f>
        <v>7.0000000000000007E-2</v>
      </c>
      <c r="H137" s="1">
        <v>7.0000000000000007E-2</v>
      </c>
      <c r="I137" s="1">
        <v>298</v>
      </c>
      <c r="J137" s="2">
        <v>5.7799999999999995E-4</v>
      </c>
      <c r="K137" s="1">
        <f t="shared" si="21"/>
        <v>-3.238072161579471</v>
      </c>
      <c r="L137" s="1">
        <v>0.33</v>
      </c>
      <c r="M137" s="1">
        <v>0</v>
      </c>
      <c r="N137" s="1">
        <v>0</v>
      </c>
      <c r="O137" s="1">
        <v>0</v>
      </c>
      <c r="P137" s="1">
        <v>41</v>
      </c>
      <c r="Q137" s="1">
        <v>1.59</v>
      </c>
      <c r="R137" s="1">
        <v>0.64</v>
      </c>
      <c r="S137" s="1">
        <f t="shared" si="20"/>
        <v>116.824024700172</v>
      </c>
      <c r="T137" s="1">
        <v>3.8694000000000002</v>
      </c>
      <c r="U137" s="1">
        <v>7.8026999999999997</v>
      </c>
    </row>
    <row r="138" spans="1:22">
      <c r="A138" s="1">
        <v>0.33</v>
      </c>
      <c r="B138" s="1">
        <f>0.56-Sheet4!J138</f>
        <v>0.56000000000000005</v>
      </c>
      <c r="C138" s="1">
        <v>1</v>
      </c>
      <c r="D138" s="1">
        <v>3</v>
      </c>
      <c r="E138" s="1">
        <v>1</v>
      </c>
      <c r="F138" s="1">
        <f>A138*6.941+B138*138.91+C138*47.867+D138*16+Sheet4!A138*87.62+Sheet4!B138*40.078+Sheet4!C138*26.982+Sheet4!D138*114.82+Sheet4!E138*58.993+Sheet4!F138*19+Sheet4!G138*23+Sheet4!H138*50.942+Sheet4!I138*92.906+Sheet4!J138*144.24+Sheet4!K138*107.87+Sheet4!L138*180.95+Sheet4!M138*91.224+Sheet4!N138*178.49</f>
        <v>175.94713000000002</v>
      </c>
      <c r="G138" s="1">
        <f>Sheet4!A138+Sheet4!C138+Sheet4!D138+Sheet4!E138+Sheet4!F138+Sheet4!G138+Sheet4!H138+Sheet4!I138+Sheet4!J138+Sheet4!K138+Sheet4!L138+Sheet4!M138+Sheet4!N138+Sheet4!O138+Sheet4!P138+Sheet4!Q138+Sheet4!R138+Sheet4!S138</f>
        <v>0</v>
      </c>
      <c r="H138" s="1">
        <v>0.11</v>
      </c>
      <c r="I138" s="1">
        <v>298</v>
      </c>
      <c r="J138" s="2">
        <v>1.2999999999999999E-3</v>
      </c>
      <c r="K138" s="1">
        <f t="shared" si="21"/>
        <v>-2.8860566476931631</v>
      </c>
      <c r="M138" s="1">
        <v>60</v>
      </c>
      <c r="N138" s="1">
        <v>1.1399999999999999</v>
      </c>
      <c r="O138" s="1">
        <v>1.27</v>
      </c>
      <c r="P138" s="1">
        <v>0</v>
      </c>
      <c r="Q138" s="1">
        <v>0</v>
      </c>
      <c r="R138" s="1">
        <v>0</v>
      </c>
      <c r="S138" s="1">
        <f t="shared" si="20"/>
        <v>58.095499617000009</v>
      </c>
      <c r="T138" s="1">
        <v>3.8730000000000002</v>
      </c>
      <c r="U138" s="1">
        <v>3.8730000000000002</v>
      </c>
      <c r="V138" s="7" t="s">
        <v>54</v>
      </c>
    </row>
    <row r="139" spans="1:22">
      <c r="A139" s="1">
        <v>0.33</v>
      </c>
      <c r="B139" s="1">
        <f>0.56-Sheet4!J139</f>
        <v>0.42000000000000004</v>
      </c>
      <c r="C139" s="1">
        <v>1</v>
      </c>
      <c r="D139" s="1">
        <v>3</v>
      </c>
      <c r="E139" s="1">
        <v>1</v>
      </c>
      <c r="F139" s="1">
        <f>A139*6.941+B139*138.91+C139*47.867+D139*16+Sheet4!A139*87.62+Sheet4!B139*40.078+Sheet4!C139*26.982+Sheet4!D139*114.82+Sheet4!E139*58.993+Sheet4!F139*19+Sheet4!G139*23+Sheet4!H139*50.942+Sheet4!I139*92.906+Sheet4!J139*144.24+Sheet4!K139*107.87+Sheet4!L139*180.95+Sheet4!M139*91.224+Sheet4!N139*178.49</f>
        <v>176.69333</v>
      </c>
      <c r="G139" s="1">
        <f>Sheet4!A139+Sheet4!C139+Sheet4!D139+Sheet4!E139+Sheet4!F139+Sheet4!G139+Sheet4!H139+Sheet4!I139+Sheet4!J139+Sheet4!K139+Sheet4!L139+Sheet4!M139+Sheet4!N139+Sheet4!O139+Sheet4!P139+Sheet4!Q139+Sheet4!R139+Sheet4!S139</f>
        <v>0.14000000000000001</v>
      </c>
      <c r="H139" s="1">
        <v>0.11</v>
      </c>
      <c r="I139" s="1">
        <v>298</v>
      </c>
      <c r="J139" s="2">
        <v>2.1000000000000001E-4</v>
      </c>
      <c r="K139" s="1">
        <f t="shared" si="21"/>
        <v>-3.6777807052660809</v>
      </c>
      <c r="M139" s="1">
        <v>60</v>
      </c>
      <c r="N139" s="1">
        <v>1.1399999999999999</v>
      </c>
      <c r="O139" s="1">
        <v>1.27</v>
      </c>
      <c r="P139" s="1">
        <v>0</v>
      </c>
      <c r="Q139" s="1">
        <v>0</v>
      </c>
      <c r="R139" s="1">
        <v>0</v>
      </c>
      <c r="S139" s="1">
        <f t="shared" si="20"/>
        <v>57.646656647</v>
      </c>
      <c r="T139" s="1">
        <v>3.863</v>
      </c>
      <c r="U139" s="1">
        <v>3.863</v>
      </c>
    </row>
    <row r="140" spans="1:22">
      <c r="A140" s="1">
        <v>0.33</v>
      </c>
      <c r="B140" s="1">
        <f>0.56-Sheet4!J140</f>
        <v>0.28000000000000003</v>
      </c>
      <c r="C140" s="1">
        <v>1</v>
      </c>
      <c r="D140" s="1">
        <v>3</v>
      </c>
      <c r="E140" s="1">
        <v>1</v>
      </c>
      <c r="F140" s="1">
        <f>A140*6.941+B140*138.91+C140*47.867+D140*16+Sheet4!A140*87.62+Sheet4!B140*40.078+Sheet4!C140*26.982+Sheet4!D140*114.82+Sheet4!E140*58.993+Sheet4!F140*19+Sheet4!G140*23+Sheet4!H140*50.942+Sheet4!I140*92.906+Sheet4!J140*144.24+Sheet4!K140*107.87+Sheet4!L140*180.95+Sheet4!M140*91.224+Sheet4!N140*178.49</f>
        <v>177.43952999999999</v>
      </c>
      <c r="G140" s="1">
        <f>Sheet4!A140+Sheet4!C140+Sheet4!D140+Sheet4!E140+Sheet4!F140+Sheet4!G140+Sheet4!H140+Sheet4!I140+Sheet4!J140+Sheet4!K140+Sheet4!L140+Sheet4!M140+Sheet4!N140+Sheet4!O140+Sheet4!P140+Sheet4!Q140+Sheet4!R140+Sheet4!S140</f>
        <v>0.28000000000000003</v>
      </c>
      <c r="H140" s="1">
        <v>0.11</v>
      </c>
      <c r="I140" s="1">
        <v>298</v>
      </c>
      <c r="J140" s="2">
        <v>3.6000000000000001E-5</v>
      </c>
      <c r="K140" s="1">
        <f t="shared" si="21"/>
        <v>-4.4436974992327123</v>
      </c>
      <c r="M140" s="1">
        <v>60</v>
      </c>
      <c r="N140" s="1">
        <v>1.1399999999999999</v>
      </c>
      <c r="O140" s="1">
        <v>1.27</v>
      </c>
      <c r="P140" s="1">
        <v>0</v>
      </c>
      <c r="Q140" s="1">
        <v>0</v>
      </c>
      <c r="R140" s="1">
        <v>0</v>
      </c>
      <c r="S140" s="1">
        <f t="shared" si="20"/>
        <v>56.977736191999995</v>
      </c>
      <c r="T140" s="1">
        <v>3.8479999999999999</v>
      </c>
      <c r="U140" s="1">
        <v>3.8479999999999999</v>
      </c>
    </row>
    <row r="141" spans="1:22">
      <c r="A141" s="1">
        <v>0.33</v>
      </c>
      <c r="B141" s="1">
        <f>0.56-Sheet4!J141</f>
        <v>0.14000000000000001</v>
      </c>
      <c r="C141" s="1">
        <v>1</v>
      </c>
      <c r="D141" s="1">
        <v>3</v>
      </c>
      <c r="E141" s="1">
        <v>1</v>
      </c>
      <c r="F141" s="1">
        <f>A141*6.941+B141*138.91+C141*47.867+D141*16+Sheet4!A141*87.62+Sheet4!B141*40.078+Sheet4!C141*26.982+Sheet4!D141*114.82+Sheet4!E141*58.993+Sheet4!F141*19+Sheet4!G141*23+Sheet4!H141*50.942+Sheet4!I141*92.906+Sheet4!J141*144.24+Sheet4!K141*107.87+Sheet4!L141*180.95+Sheet4!M141*91.224+Sheet4!N141*178.49</f>
        <v>178.18573000000001</v>
      </c>
      <c r="G141" s="1">
        <f>Sheet4!A141+Sheet4!C141+Sheet4!D141+Sheet4!E141+Sheet4!F141+Sheet4!G141+Sheet4!H141+Sheet4!I141+Sheet4!J141+Sheet4!K141+Sheet4!L141+Sheet4!M141+Sheet4!N141+Sheet4!O141+Sheet4!P141+Sheet4!Q141+Sheet4!R141+Sheet4!S141</f>
        <v>0.42000000000000004</v>
      </c>
      <c r="H141" s="1">
        <v>0.11</v>
      </c>
      <c r="I141" s="1">
        <v>298</v>
      </c>
      <c r="J141" s="2">
        <v>3.1E-6</v>
      </c>
      <c r="K141" s="1">
        <f t="shared" si="21"/>
        <v>-5.5086383061657269</v>
      </c>
      <c r="M141" s="1">
        <v>60</v>
      </c>
      <c r="N141" s="1">
        <v>1.1399999999999999</v>
      </c>
      <c r="O141" s="1">
        <v>1.27</v>
      </c>
      <c r="P141" s="1">
        <v>0</v>
      </c>
      <c r="Q141" s="1">
        <v>0</v>
      </c>
      <c r="R141" s="1">
        <v>0</v>
      </c>
      <c r="S141" s="1">
        <f t="shared" si="20"/>
        <v>112.86294566399999</v>
      </c>
      <c r="T141" s="1">
        <v>3.8319999999999999</v>
      </c>
      <c r="U141" s="1">
        <v>7.6859999999999999</v>
      </c>
    </row>
    <row r="142" spans="1:22">
      <c r="A142" s="1">
        <v>0.33</v>
      </c>
      <c r="B142" s="1">
        <f>0.56-Sheet4!J142</f>
        <v>0</v>
      </c>
      <c r="C142" s="1">
        <v>1</v>
      </c>
      <c r="D142" s="1">
        <v>3</v>
      </c>
      <c r="E142" s="1">
        <v>1</v>
      </c>
      <c r="F142" s="1">
        <f>A142*6.941+B142*138.91+C142*47.867+D142*16+Sheet4!A142*87.62+Sheet4!B142*40.078+Sheet4!C142*26.982+Sheet4!D142*114.82+Sheet4!E142*58.993+Sheet4!F142*19+Sheet4!G142*23+Sheet4!H142*50.942+Sheet4!I142*92.906+Sheet4!J142*144.24+Sheet4!K142*107.87+Sheet4!L142*180.95+Sheet4!M142*91.224+Sheet4!N142*178.49</f>
        <v>178.93193000000002</v>
      </c>
      <c r="G142" s="1">
        <f>Sheet4!A142+Sheet4!C142+Sheet4!D142+Sheet4!E142+Sheet4!F142+Sheet4!G142+Sheet4!H142+Sheet4!I142+Sheet4!J142+Sheet4!K142+Sheet4!L142+Sheet4!M142+Sheet4!N142+Sheet4!O142+Sheet4!P142+Sheet4!Q142+Sheet4!R142+Sheet4!S142</f>
        <v>0.56000000000000005</v>
      </c>
      <c r="H142" s="1">
        <v>0.11</v>
      </c>
      <c r="I142" s="1">
        <v>298</v>
      </c>
      <c r="J142" s="2">
        <v>1.3E-6</v>
      </c>
      <c r="K142" s="1">
        <f t="shared" si="21"/>
        <v>-5.8860566476931631</v>
      </c>
      <c r="M142" s="1">
        <v>60</v>
      </c>
      <c r="N142" s="1">
        <v>1.1399999999999999</v>
      </c>
      <c r="O142" s="1">
        <v>1.27</v>
      </c>
      <c r="P142" s="1">
        <v>0</v>
      </c>
      <c r="Q142" s="1">
        <v>0</v>
      </c>
      <c r="R142" s="1">
        <v>0</v>
      </c>
      <c r="S142" s="1">
        <f t="shared" si="20"/>
        <v>112.713899008</v>
      </c>
      <c r="T142" s="1">
        <v>3.8239999999999998</v>
      </c>
      <c r="U142" s="1">
        <v>7.7080000000000002</v>
      </c>
    </row>
    <row r="143" spans="1:22">
      <c r="A143" s="1">
        <v>0.33</v>
      </c>
      <c r="B143" s="1">
        <v>0.56000000000000005</v>
      </c>
      <c r="C143" s="1">
        <v>0.95</v>
      </c>
      <c r="D143" s="1">
        <v>3</v>
      </c>
      <c r="E143" s="1">
        <v>1</v>
      </c>
      <c r="F143" s="1">
        <f>A143*6.941+B143*138.91+C143*47.867+D143*16+Sheet4!A143*87.62+Sheet4!B143*40.078+Sheet4!C143*26.982+Sheet4!D143*114.82+Sheet4!E143*58.993+Sheet4!F143*19+Sheet4!G143*23+Sheet4!H143*50.942+Sheet4!I143*92.906+Sheet4!J143*144.24+Sheet4!K143*107.87+Sheet4!L143*180.95+Sheet4!M143*91.224+Sheet4!N143*178.49</f>
        <v>178.11498000000003</v>
      </c>
      <c r="G143" s="1">
        <f>Sheet4!A143+Sheet4!C143+Sheet4!D143+Sheet4!E143+Sheet4!F143+Sheet4!G143+Sheet4!H143+Sheet4!I143+Sheet4!J143+Sheet4!K143+Sheet4!L143+Sheet4!M143+Sheet4!N143+Sheet4!O143+Sheet4!P143+Sheet4!Q143+Sheet4!R143+Sheet4!S143</f>
        <v>0.05</v>
      </c>
      <c r="H143" s="1">
        <v>0.11</v>
      </c>
      <c r="I143" s="1">
        <v>298</v>
      </c>
      <c r="J143" s="2">
        <v>3.1E-4</v>
      </c>
      <c r="K143" s="1">
        <f t="shared" si="21"/>
        <v>-3.5086383061657274</v>
      </c>
      <c r="M143" s="1">
        <v>0</v>
      </c>
      <c r="N143" s="1">
        <v>0</v>
      </c>
      <c r="O143" s="1">
        <v>0</v>
      </c>
      <c r="P143" s="1">
        <v>40</v>
      </c>
      <c r="Q143" s="1">
        <v>1.33</v>
      </c>
      <c r="R143" s="1">
        <v>0.84</v>
      </c>
      <c r="S143" s="1">
        <f t="shared" si="20"/>
        <v>58.456246840999988</v>
      </c>
      <c r="T143" s="1">
        <v>3.8809999999999998</v>
      </c>
      <c r="U143" s="1">
        <v>3.8809999999999998</v>
      </c>
    </row>
    <row r="144" spans="1:22">
      <c r="A144" s="1">
        <v>0.33</v>
      </c>
      <c r="B144" s="1">
        <v>0.56000000000000005</v>
      </c>
      <c r="C144" s="1">
        <v>0.9</v>
      </c>
      <c r="D144" s="1">
        <v>3</v>
      </c>
      <c r="E144" s="1">
        <v>1</v>
      </c>
      <c r="F144" s="1">
        <f>A144*6.941+B144*138.91+C144*47.867+D144*16+Sheet4!A144*87.62+Sheet4!B144*40.078+Sheet4!C144*26.982+Sheet4!D144*114.82+Sheet4!E144*58.993+Sheet4!F144*19+Sheet4!G144*23+Sheet4!H144*50.942+Sheet4!I144*92.906+Sheet4!J144*144.24+Sheet4!K144*107.87+Sheet4!L144*180.95+Sheet4!M144*91.224+Sheet4!N144*178.49</f>
        <v>180.28283000000002</v>
      </c>
      <c r="G144" s="1">
        <f>Sheet4!A144+Sheet4!C144+Sheet4!D144+Sheet4!E144+Sheet4!F144+Sheet4!G144+Sheet4!H144+Sheet4!I144+Sheet4!J144+Sheet4!K144+Sheet4!L144+Sheet4!M144+Sheet4!N144+Sheet4!O144+Sheet4!P144+Sheet4!Q144+Sheet4!R144+Sheet4!S144</f>
        <v>0.1</v>
      </c>
      <c r="H144" s="1">
        <v>0.11</v>
      </c>
      <c r="I144" s="1">
        <v>298</v>
      </c>
      <c r="J144" s="2">
        <v>1.2E-4</v>
      </c>
      <c r="K144" s="1">
        <f t="shared" si="21"/>
        <v>-3.9208187539523753</v>
      </c>
      <c r="M144" s="1">
        <v>0</v>
      </c>
      <c r="N144" s="1">
        <v>0</v>
      </c>
      <c r="O144" s="1">
        <v>0</v>
      </c>
      <c r="P144" s="1">
        <v>40</v>
      </c>
      <c r="Q144" s="1">
        <v>1.33</v>
      </c>
      <c r="R144" s="1">
        <v>0.84</v>
      </c>
      <c r="S144" s="1">
        <f t="shared" si="20"/>
        <v>58.727785103000002</v>
      </c>
      <c r="T144" s="1">
        <v>3.887</v>
      </c>
      <c r="U144" s="1">
        <v>3.887</v>
      </c>
    </row>
    <row r="145" spans="1:22">
      <c r="A145" s="1">
        <v>0.33</v>
      </c>
      <c r="B145" s="1">
        <v>0.56000000000000005</v>
      </c>
      <c r="C145" s="1">
        <v>0.95</v>
      </c>
      <c r="D145" s="1">
        <v>3</v>
      </c>
      <c r="E145" s="1">
        <v>1</v>
      </c>
      <c r="F145" s="1">
        <f>A145*6.941+B145*138.91+C145*47.867+D145*16+Sheet4!A145*87.62+Sheet4!B145*40.078+Sheet4!C145*26.982+Sheet4!D145*114.82+Sheet4!E145*58.993+Sheet4!F145*19+Sheet4!G145*23+Sheet4!H145*50.942+Sheet4!I145*92.906+Sheet4!J145*144.24+Sheet4!K145*107.87+Sheet4!L145*180.95+Sheet4!M145*91.224+Sheet4!N145*178.49</f>
        <v>182.47828000000001</v>
      </c>
      <c r="G145" s="1">
        <f>Sheet4!A145+Sheet4!C145+Sheet4!D145+Sheet4!E145+Sheet4!F145+Sheet4!G145+Sheet4!H145+Sheet4!I145+Sheet4!J145+Sheet4!K145+Sheet4!L145+Sheet4!M145+Sheet4!N145+Sheet4!O145+Sheet4!P145+Sheet4!Q145+Sheet4!R145+Sheet4!S145</f>
        <v>0.05</v>
      </c>
      <c r="H145" s="1">
        <v>0.11</v>
      </c>
      <c r="I145" s="1">
        <v>298</v>
      </c>
      <c r="J145" s="2">
        <v>2.7E-4</v>
      </c>
      <c r="K145" s="1">
        <f t="shared" si="21"/>
        <v>-3.5686362358410126</v>
      </c>
      <c r="M145" s="1">
        <v>0</v>
      </c>
      <c r="N145" s="1">
        <v>0</v>
      </c>
      <c r="O145" s="1">
        <v>0</v>
      </c>
      <c r="P145" s="1">
        <v>72</v>
      </c>
      <c r="Q145" s="1">
        <v>1.32</v>
      </c>
      <c r="R145" s="1">
        <v>0.83</v>
      </c>
      <c r="S145" s="1">
        <f t="shared" si="20"/>
        <v>58.501444968000001</v>
      </c>
      <c r="T145" s="1">
        <v>3.8820000000000001</v>
      </c>
      <c r="U145" s="1">
        <v>3.8820000000000001</v>
      </c>
    </row>
    <row r="146" spans="1:22">
      <c r="A146" s="1">
        <v>0.33</v>
      </c>
      <c r="B146" s="1">
        <v>0.56000000000000005</v>
      </c>
      <c r="C146" s="1">
        <v>0.9</v>
      </c>
      <c r="D146" s="1">
        <v>3</v>
      </c>
      <c r="E146" s="1">
        <v>1</v>
      </c>
      <c r="F146" s="1">
        <f>A146*6.941+B146*138.91+C146*47.867+D146*16+Sheet4!A146*87.62+Sheet4!B146*40.078+Sheet4!C146*26.982+Sheet4!D146*114.82+Sheet4!E146*58.993+Sheet4!F146*19+Sheet4!G146*23+Sheet4!H146*50.942+Sheet4!I146*92.906+Sheet4!J146*144.24+Sheet4!K146*107.87+Sheet4!L146*180.95+Sheet4!M146*91.224+Sheet4!N146*178.49</f>
        <v>189.00943000000001</v>
      </c>
      <c r="G146" s="1">
        <f>Sheet4!A146+Sheet4!C146+Sheet4!D146+Sheet4!E146+Sheet4!F146+Sheet4!G146+Sheet4!H146+Sheet4!I146+Sheet4!J146+Sheet4!K146+Sheet4!L146+Sheet4!M146+Sheet4!N146+Sheet4!O146+Sheet4!P146+Sheet4!Q146+Sheet4!R146+Sheet4!S146</f>
        <v>0.1</v>
      </c>
      <c r="H146" s="1">
        <v>0.11</v>
      </c>
      <c r="I146" s="1">
        <v>298</v>
      </c>
      <c r="J146" s="2">
        <v>1.6000000000000001E-4</v>
      </c>
      <c r="K146" s="1">
        <f t="shared" si="21"/>
        <v>-3.795880017344075</v>
      </c>
      <c r="M146" s="1">
        <v>0</v>
      </c>
      <c r="N146" s="1">
        <v>0</v>
      </c>
      <c r="O146" s="1">
        <v>0</v>
      </c>
      <c r="P146" s="1">
        <v>72</v>
      </c>
      <c r="Q146" s="1">
        <v>1.32</v>
      </c>
      <c r="R146" s="1">
        <v>0.83</v>
      </c>
      <c r="S146" s="1">
        <f t="shared" si="20"/>
        <v>58.727785103000002</v>
      </c>
      <c r="T146" s="1">
        <v>3.887</v>
      </c>
      <c r="U146" s="1">
        <v>3.887</v>
      </c>
    </row>
    <row r="147" spans="1:22">
      <c r="A147" s="1">
        <v>0.33</v>
      </c>
      <c r="B147" s="1">
        <v>0</v>
      </c>
      <c r="C147" s="1">
        <v>0.44</v>
      </c>
      <c r="D147" s="1">
        <v>3</v>
      </c>
      <c r="E147" s="1">
        <v>2</v>
      </c>
      <c r="F147" s="1">
        <f>A147*6.941+B147*138.91+C147*47.867+D147*16+Sheet4!A147*87.62+Sheet4!B147*40.078+Sheet4!C147*26.982+Sheet4!D147*114.82+Sheet4!E147*58.993+Sheet4!F147*19+Sheet4!G147*23+Sheet4!H147*50.942+Sheet4!I147*92.906+Sheet4!J147*144.24+Sheet4!K147*107.87+Sheet4!L147*180.95+Sheet4!M147*91.224+Sheet4!N147*178.49</f>
        <v>208.43945000000002</v>
      </c>
      <c r="G147" s="1">
        <f>Sheet4!A147+Sheet4!C147+Sheet4!D147+Sheet4!E147+Sheet4!F147+Sheet4!G147+Sheet4!H147+Sheet4!I147+Sheet4!J147+Sheet4!K147+Sheet4!L147+Sheet4!M147+Sheet4!N147+Sheet4!O147+Sheet4!P147+Sheet4!Q147+Sheet4!R147+Sheet4!S147</f>
        <v>0.84000000000000008</v>
      </c>
      <c r="H147" s="1">
        <v>0.11</v>
      </c>
      <c r="I147" s="1">
        <v>298</v>
      </c>
      <c r="J147" s="2">
        <v>6.1999999999999999E-7</v>
      </c>
      <c r="K147" s="1">
        <f t="shared" si="21"/>
        <v>-6.2076083105017466</v>
      </c>
      <c r="M147" s="1">
        <v>20</v>
      </c>
      <c r="N147" s="1">
        <v>1</v>
      </c>
      <c r="O147" s="1">
        <v>1.34</v>
      </c>
      <c r="P147" s="1">
        <v>73</v>
      </c>
      <c r="Q147" s="1">
        <v>1.51</v>
      </c>
      <c r="R147" s="1">
        <v>0.74</v>
      </c>
      <c r="S147" s="1">
        <f t="shared" si="20"/>
        <v>58.591911103999998</v>
      </c>
      <c r="T147" s="1">
        <v>3.8839999999999999</v>
      </c>
      <c r="U147" s="1">
        <v>3.8839999999999999</v>
      </c>
    </row>
    <row r="148" spans="1:22">
      <c r="A148" s="1">
        <v>0.33</v>
      </c>
      <c r="B148" s="1">
        <v>0</v>
      </c>
      <c r="C148" s="1">
        <v>0.44</v>
      </c>
      <c r="D148" s="1">
        <v>3</v>
      </c>
      <c r="E148" s="1">
        <v>2</v>
      </c>
      <c r="F148" s="1">
        <f>A148*6.941+B148*138.91+C148*47.867+D148*16+Sheet4!A148*87.62+Sheet4!B148*40.078+Sheet4!C148*26.982+Sheet4!D148*114.82+Sheet4!E148*58.993+Sheet4!F148*19+Sheet4!G148*23+Sheet4!H148*50.942+Sheet4!I148*92.906+Sheet4!J148*144.24+Sheet4!K148*107.87+Sheet4!L148*180.95+Sheet4!M148*91.224+Sheet4!N148*178.49</f>
        <v>221.75121000000001</v>
      </c>
      <c r="G148" s="1">
        <f>Sheet4!A148+Sheet4!C148+Sheet4!D148+Sheet4!E148+Sheet4!F148+Sheet4!G148+Sheet4!H148+Sheet4!I148+Sheet4!J148+Sheet4!K148+Sheet4!L148+Sheet4!M148+Sheet4!N148+Sheet4!O148+Sheet4!P148+Sheet4!Q148+Sheet4!R148+Sheet4!S148</f>
        <v>1.1200000000000001</v>
      </c>
      <c r="H148" s="1">
        <v>0.11</v>
      </c>
      <c r="I148" s="1">
        <v>298</v>
      </c>
      <c r="J148" s="2">
        <v>5.5999999999999995E-4</v>
      </c>
      <c r="K148" s="1">
        <f t="shared" si="21"/>
        <v>-3.2518119729937998</v>
      </c>
      <c r="M148" s="1">
        <v>38</v>
      </c>
      <c r="N148" s="1">
        <v>0.95</v>
      </c>
      <c r="O148" s="1">
        <v>1.44</v>
      </c>
      <c r="P148" s="1">
        <v>73</v>
      </c>
      <c r="Q148" s="1">
        <v>1.51</v>
      </c>
      <c r="R148" s="1">
        <v>0.74</v>
      </c>
      <c r="S148" s="1">
        <f t="shared" si="20"/>
        <v>61.069889672000009</v>
      </c>
      <c r="T148" s="1">
        <v>3.9380000000000002</v>
      </c>
      <c r="U148" s="1">
        <v>3.9380000000000002</v>
      </c>
    </row>
    <row r="149" spans="1:22">
      <c r="A149" s="1">
        <f>0.5-Sheet4!I149</f>
        <v>0.5</v>
      </c>
      <c r="B149" s="1">
        <v>0.5</v>
      </c>
      <c r="C149" s="1">
        <f>1-Sheet4!I149</f>
        <v>1</v>
      </c>
      <c r="D149" s="1">
        <v>3</v>
      </c>
      <c r="E149" s="1">
        <v>1</v>
      </c>
      <c r="F149" s="1">
        <f>A149*6.941+B149*138.91+C149*47.867+D149*16+Sheet4!A149*87.62+Sheet4!B149*40.078+Sheet4!C149*26.982+Sheet4!D149*114.82+Sheet4!E149*58.993+Sheet4!F149*19+Sheet4!G149*23+Sheet4!H149*50.942+Sheet4!I149*92.906+Sheet4!J149*144.24+Sheet4!K149*107.87+Sheet4!L149*180.95+Sheet4!M149*91.224+Sheet4!N149*178.49</f>
        <v>168.79249999999999</v>
      </c>
      <c r="G149" s="1">
        <f>Sheet4!A149+Sheet4!C149+Sheet4!D149+Sheet4!E149+Sheet4!F149+Sheet4!G149+Sheet4!H149+Sheet4!I149+Sheet4!J149+Sheet4!K149+Sheet4!L149+Sheet4!M149+Sheet4!N149+Sheet4!O149+Sheet4!P149+Sheet4!Q149+Sheet4!R149+Sheet4!S149</f>
        <v>0</v>
      </c>
      <c r="H149" s="1">
        <v>0</v>
      </c>
      <c r="I149" s="1">
        <v>298</v>
      </c>
      <c r="J149" s="2">
        <f>10^(K149)</f>
        <v>8.156427871327869E-4</v>
      </c>
      <c r="K149" s="1">
        <v>-3.0884999999999998</v>
      </c>
      <c r="L149" s="1">
        <v>0.35</v>
      </c>
      <c r="M149" s="1">
        <v>0</v>
      </c>
      <c r="N149" s="1">
        <v>0</v>
      </c>
      <c r="O149" s="1">
        <v>0</v>
      </c>
      <c r="P149" s="1">
        <v>41</v>
      </c>
      <c r="Q149" s="1">
        <v>1.59</v>
      </c>
      <c r="R149" s="1">
        <v>0.74</v>
      </c>
      <c r="S149" s="1">
        <f t="shared" si="20"/>
        <v>115.49596017960002</v>
      </c>
      <c r="T149" s="1">
        <v>3.8610000000000002</v>
      </c>
      <c r="U149" s="1">
        <v>7.7476000000000003</v>
      </c>
      <c r="V149" s="7" t="s">
        <v>55</v>
      </c>
    </row>
    <row r="150" spans="1:22">
      <c r="A150" s="1">
        <f>0.5-Sheet4!I150</f>
        <v>0.49</v>
      </c>
      <c r="B150" s="1">
        <v>0.5</v>
      </c>
      <c r="C150" s="1">
        <f>1-Sheet4!I150</f>
        <v>0.99</v>
      </c>
      <c r="D150" s="1">
        <v>3</v>
      </c>
      <c r="E150" s="1">
        <v>1</v>
      </c>
      <c r="F150" s="1">
        <f>A150*6.941+B150*138.91+C150*47.867+D150*16+Sheet4!A150*87.62+Sheet4!B150*40.078+Sheet4!C150*26.982+Sheet4!D150*114.82+Sheet4!E150*58.993+Sheet4!F150*19+Sheet4!G150*23+Sheet4!H150*50.942+Sheet4!I150*92.906+Sheet4!J150*144.24+Sheet4!K150*107.87+Sheet4!L150*180.95+Sheet4!M150*91.224+Sheet4!N150*178.49</f>
        <v>169.17347999999998</v>
      </c>
      <c r="G150" s="1">
        <f>Sheet4!A150+Sheet4!C150+Sheet4!D150+Sheet4!E150+Sheet4!F150+Sheet4!G150+Sheet4!H150+Sheet4!I150+Sheet4!J150+Sheet4!K150+Sheet4!L150+Sheet4!M150+Sheet4!N150+Sheet4!O150+Sheet4!P150+Sheet4!Q150+Sheet4!R150+Sheet4!S150</f>
        <v>0.01</v>
      </c>
      <c r="H150" s="1">
        <v>0.01</v>
      </c>
      <c r="I150" s="1">
        <v>298</v>
      </c>
      <c r="J150" s="2">
        <f t="shared" ref="J150:J153" si="22">10^(K150)</f>
        <v>9.1727593538977839E-4</v>
      </c>
      <c r="K150" s="1">
        <v>-3.0375000000000001</v>
      </c>
      <c r="L150" s="1">
        <v>0.38</v>
      </c>
      <c r="M150" s="1">
        <v>0</v>
      </c>
      <c r="N150" s="1">
        <v>0</v>
      </c>
      <c r="O150" s="1">
        <v>0</v>
      </c>
      <c r="P150" s="1">
        <v>41</v>
      </c>
      <c r="Q150" s="1">
        <v>1.59</v>
      </c>
      <c r="R150" s="1">
        <v>0.74</v>
      </c>
      <c r="S150" s="1">
        <f t="shared" si="20"/>
        <v>116.27210119751099</v>
      </c>
      <c r="T150" s="1">
        <v>3.8660999999999999</v>
      </c>
      <c r="U150" s="1">
        <v>7.7790999999999997</v>
      </c>
    </row>
    <row r="151" spans="1:22">
      <c r="A151" s="1">
        <f>0.5-Sheet4!I151</f>
        <v>0.47</v>
      </c>
      <c r="B151" s="1">
        <v>0.5</v>
      </c>
      <c r="C151" s="1">
        <f>1-Sheet4!I151</f>
        <v>0.97</v>
      </c>
      <c r="D151" s="1">
        <v>3</v>
      </c>
      <c r="E151" s="1">
        <v>1</v>
      </c>
      <c r="F151" s="1">
        <f>A151*6.941+B151*138.91+C151*47.867+D151*16+Sheet4!A151*87.62+Sheet4!B151*40.078+Sheet4!C151*26.982+Sheet4!D151*114.82+Sheet4!E151*58.993+Sheet4!F151*19+Sheet4!G151*23+Sheet4!H151*50.942+Sheet4!I151*92.906+Sheet4!J151*144.24+Sheet4!K151*107.87+Sheet4!L151*180.95+Sheet4!M151*91.224+Sheet4!N151*178.49</f>
        <v>169.93544</v>
      </c>
      <c r="G151" s="1">
        <f>Sheet4!A151+Sheet4!C151+Sheet4!D151+Sheet4!E151+Sheet4!F151+Sheet4!G151+Sheet4!H151+Sheet4!I151+Sheet4!J151+Sheet4!K151+Sheet4!L151+Sheet4!M151+Sheet4!N151+Sheet4!O151+Sheet4!P151+Sheet4!Q151+Sheet4!R151+Sheet4!S151</f>
        <v>0.03</v>
      </c>
      <c r="H151" s="1">
        <v>0.03</v>
      </c>
      <c r="I151" s="1">
        <v>298</v>
      </c>
      <c r="J151" s="2">
        <f t="shared" si="22"/>
        <v>1.3335214321633228E-3</v>
      </c>
      <c r="K151" s="1">
        <v>-2.875</v>
      </c>
      <c r="L151" s="1">
        <v>0.33</v>
      </c>
      <c r="M151" s="1">
        <v>0</v>
      </c>
      <c r="N151" s="1">
        <v>0</v>
      </c>
      <c r="O151" s="1">
        <v>0</v>
      </c>
      <c r="P151" s="1">
        <v>41</v>
      </c>
      <c r="Q151" s="1">
        <v>1.59</v>
      </c>
      <c r="R151" s="1">
        <v>0.74</v>
      </c>
      <c r="S151" s="1">
        <f t="shared" si="20"/>
        <v>116.42473073632499</v>
      </c>
      <c r="T151" s="1">
        <v>3.8664999999999998</v>
      </c>
      <c r="U151" s="1">
        <v>7.7877000000000001</v>
      </c>
    </row>
    <row r="152" spans="1:22">
      <c r="A152" s="1">
        <f>0.5-Sheet4!I152</f>
        <v>0.45</v>
      </c>
      <c r="B152" s="1">
        <v>0.5</v>
      </c>
      <c r="C152" s="1">
        <f>1-Sheet4!I152</f>
        <v>0.95</v>
      </c>
      <c r="D152" s="1">
        <v>3</v>
      </c>
      <c r="E152" s="1">
        <v>1</v>
      </c>
      <c r="F152" s="1">
        <f>A152*6.941+B152*138.91+C152*47.867+D152*16+Sheet4!A152*87.62+Sheet4!B152*40.078+Sheet4!C152*26.982+Sheet4!D152*114.82+Sheet4!E152*58.993+Sheet4!F152*19+Sheet4!G152*23+Sheet4!H152*50.942+Sheet4!I152*92.906+Sheet4!J152*144.24+Sheet4!K152*107.87+Sheet4!L152*180.95+Sheet4!M152*91.224+Sheet4!N152*178.49</f>
        <v>170.69739999999999</v>
      </c>
      <c r="G152" s="1">
        <f>Sheet4!A152+Sheet4!C152+Sheet4!D152+Sheet4!E152+Sheet4!F152+Sheet4!G152+Sheet4!H152+Sheet4!I152+Sheet4!J152+Sheet4!K152+Sheet4!L152+Sheet4!M152+Sheet4!N152+Sheet4!O152+Sheet4!P152+Sheet4!Q152+Sheet4!R152+Sheet4!S152</f>
        <v>0.05</v>
      </c>
      <c r="H152" s="1">
        <v>0.05</v>
      </c>
      <c r="I152" s="1">
        <v>298</v>
      </c>
      <c r="J152" s="2">
        <f t="shared" si="22"/>
        <v>2.4406190680419807E-3</v>
      </c>
      <c r="K152" s="1">
        <v>-2.6124999999999998</v>
      </c>
      <c r="L152" s="1">
        <v>0.32</v>
      </c>
      <c r="M152" s="1">
        <v>0</v>
      </c>
      <c r="N152" s="1">
        <v>0</v>
      </c>
      <c r="O152" s="1">
        <v>0</v>
      </c>
      <c r="P152" s="1">
        <v>41</v>
      </c>
      <c r="Q152" s="1">
        <v>1.59</v>
      </c>
      <c r="R152" s="1">
        <v>0.74</v>
      </c>
      <c r="S152" s="1">
        <f t="shared" si="20"/>
        <v>116.75092626</v>
      </c>
      <c r="T152" s="1">
        <v>3.87</v>
      </c>
      <c r="U152" s="1">
        <v>7.7953999999999999</v>
      </c>
    </row>
    <row r="153" spans="1:22">
      <c r="A153" s="1">
        <f>0.5-Sheet4!I153</f>
        <v>0.43</v>
      </c>
      <c r="B153" s="1">
        <v>0.5</v>
      </c>
      <c r="C153" s="1">
        <f>1-Sheet4!I153</f>
        <v>0.92999999999999994</v>
      </c>
      <c r="D153" s="1">
        <v>3</v>
      </c>
      <c r="E153" s="1">
        <v>1</v>
      </c>
      <c r="F153" s="1">
        <f>A153*6.941+B153*138.91+C153*47.867+D153*16+Sheet4!A153*87.62+Sheet4!B153*40.078+Sheet4!C153*26.982+Sheet4!D153*114.82+Sheet4!E153*58.993+Sheet4!F153*19+Sheet4!G153*23+Sheet4!H153*50.942+Sheet4!I153*92.906+Sheet4!J153*144.24+Sheet4!K153*107.87+Sheet4!L153*180.95+Sheet4!M153*91.224+Sheet4!N153*178.49</f>
        <v>171.45936</v>
      </c>
      <c r="G153" s="1">
        <f>Sheet4!A153+Sheet4!C153+Sheet4!D153+Sheet4!E153+Sheet4!F153+Sheet4!G153+Sheet4!H153+Sheet4!I153+Sheet4!J153+Sheet4!K153+Sheet4!L153+Sheet4!M153+Sheet4!N153+Sheet4!O153+Sheet4!P153+Sheet4!Q153+Sheet4!R153+Sheet4!S153</f>
        <v>7.0000000000000007E-2</v>
      </c>
      <c r="H153" s="1">
        <v>7.0000000000000007E-2</v>
      </c>
      <c r="I153" s="1">
        <v>298</v>
      </c>
      <c r="J153" s="2">
        <f t="shared" si="22"/>
        <v>1.7782794100389223E-3</v>
      </c>
      <c r="K153" s="1">
        <v>-2.75</v>
      </c>
      <c r="L153" s="1">
        <v>0.33</v>
      </c>
      <c r="M153" s="1">
        <v>0</v>
      </c>
      <c r="N153" s="1">
        <v>0</v>
      </c>
      <c r="O153" s="1">
        <v>0</v>
      </c>
      <c r="P153" s="1">
        <v>41</v>
      </c>
      <c r="Q153" s="1">
        <v>1.59</v>
      </c>
      <c r="R153" s="1">
        <v>0.74</v>
      </c>
      <c r="S153" s="1">
        <f t="shared" si="20"/>
        <v>116.824024700172</v>
      </c>
      <c r="T153" s="1">
        <v>3.8694000000000002</v>
      </c>
      <c r="U153" s="1">
        <v>7.8026999999999997</v>
      </c>
    </row>
    <row r="154" spans="1:22">
      <c r="A154" s="1">
        <v>0.39700000000000002</v>
      </c>
      <c r="B154" s="1">
        <v>0.56100000000000005</v>
      </c>
      <c r="C154" s="1">
        <v>0.99</v>
      </c>
      <c r="D154" s="1">
        <v>3</v>
      </c>
      <c r="E154" s="1">
        <v>1</v>
      </c>
      <c r="F154" s="1">
        <f>A154*6.941+B154*138.91+C154*47.867+D154*16+Sheet4!A154*87.62+Sheet4!B154*40.078+Sheet4!C154*26.982+Sheet4!D154*114.82+Sheet4!E154*58.993+Sheet4!F154*19+Sheet4!G154*23+Sheet4!H154*50.942+Sheet4!I154*92.906+Sheet4!J154*144.24+Sheet4!K154*107.87+Sheet4!L154*180.95+Sheet4!M154*91.224+Sheet4!N154*178.49</f>
        <v>176.42318299999999</v>
      </c>
      <c r="G154" s="1">
        <f>Sheet4!A154+Sheet4!C154+Sheet4!D154+Sheet4!E154+Sheet4!F154+Sheet4!G154+Sheet4!H154+Sheet4!I154+Sheet4!J154+Sheet4!K154+Sheet4!L154+Sheet4!M154+Sheet4!N154+Sheet4!O154+Sheet4!P154+Sheet4!Q154+Sheet4!R154+Sheet4!S154</f>
        <v>1.2999999999999999E-2</v>
      </c>
      <c r="H154" s="1">
        <v>4.2000000000000003E-2</v>
      </c>
      <c r="I154" s="1">
        <v>298</v>
      </c>
      <c r="J154" s="2">
        <v>1.1999999999999999E-3</v>
      </c>
      <c r="K154" s="1">
        <f>LOG10(J154)</f>
        <v>-2.9208187539523753</v>
      </c>
      <c r="L154" s="1">
        <v>0.432</v>
      </c>
      <c r="M154" s="1">
        <v>0</v>
      </c>
      <c r="N154" s="1">
        <v>0</v>
      </c>
      <c r="O154" s="1">
        <v>0</v>
      </c>
      <c r="P154" s="1">
        <v>13</v>
      </c>
      <c r="Q154" s="1">
        <v>1.61</v>
      </c>
      <c r="R154" s="1">
        <v>0.53500000000000003</v>
      </c>
      <c r="V154" s="7" t="s">
        <v>56</v>
      </c>
    </row>
    <row r="155" spans="1:22">
      <c r="A155" s="1">
        <v>0.378</v>
      </c>
      <c r="B155" s="1">
        <v>0.56200000000000006</v>
      </c>
      <c r="C155" s="1">
        <v>0.99</v>
      </c>
      <c r="D155" s="1">
        <v>3</v>
      </c>
      <c r="E155" s="1">
        <v>1</v>
      </c>
      <c r="F155" s="1">
        <f>A155*6.941+B155*138.91+C155*47.867+D155*16+Sheet4!A155*87.62+Sheet4!B155*40.078+Sheet4!C155*26.982+Sheet4!D155*114.82+Sheet4!E155*58.993+Sheet4!F155*19+Sheet4!G155*23+Sheet4!H155*50.942+Sheet4!I155*92.906+Sheet4!J155*144.24+Sheet4!K155*107.87+Sheet4!L155*180.95+Sheet4!M155*91.224+Sheet4!N155*178.49</f>
        <v>176.403232</v>
      </c>
      <c r="G155" s="1">
        <f>Sheet4!A155+Sheet4!C155+Sheet4!D155+Sheet4!E155+Sheet4!F155+Sheet4!G155+Sheet4!H155+Sheet4!I155+Sheet4!J155+Sheet4!K155+Sheet4!L155+Sheet4!M155+Sheet4!N155+Sheet4!O155+Sheet4!P155+Sheet4!Q155+Sheet4!R155+Sheet4!S155</f>
        <v>1.2E-2</v>
      </c>
      <c r="H155" s="1">
        <v>0.06</v>
      </c>
      <c r="I155" s="1">
        <v>298</v>
      </c>
      <c r="J155" s="2">
        <v>2.99E-3</v>
      </c>
      <c r="K155" s="1">
        <f t="shared" ref="K155:K157" si="23">LOG10(J155)</f>
        <v>-2.5243288116755704</v>
      </c>
      <c r="L155" s="1">
        <v>0.35799999999999998</v>
      </c>
      <c r="M155" s="1">
        <v>0</v>
      </c>
      <c r="N155" s="1">
        <v>0</v>
      </c>
      <c r="O155" s="1">
        <v>0</v>
      </c>
      <c r="P155" s="1">
        <v>13</v>
      </c>
      <c r="Q155" s="1">
        <v>1.61</v>
      </c>
      <c r="R155" s="1">
        <v>0.53500000000000003</v>
      </c>
    </row>
    <row r="156" spans="1:22">
      <c r="A156" s="1">
        <v>0.36599999999999999</v>
      </c>
      <c r="B156" s="1">
        <v>0.56200000000000006</v>
      </c>
      <c r="C156" s="1">
        <v>0.99</v>
      </c>
      <c r="D156" s="1">
        <v>3</v>
      </c>
      <c r="E156" s="1">
        <v>1</v>
      </c>
      <c r="F156" s="1">
        <f>A156*6.941+B156*138.91+C156*47.867+D156*16+Sheet4!A156*87.62+Sheet4!B156*40.078+Sheet4!C156*26.982+Sheet4!D156*114.82+Sheet4!E156*58.993+Sheet4!F156*19+Sheet4!G156*23+Sheet4!H156*50.942+Sheet4!I156*92.906+Sheet4!J156*144.24+Sheet4!K156*107.87+Sheet4!L156*180.95+Sheet4!M156*91.224+Sheet4!N156*178.49</f>
        <v>176.29295800000003</v>
      </c>
      <c r="G156" s="1">
        <f>Sheet4!A156+Sheet4!C156+Sheet4!D156+Sheet4!E156+Sheet4!F156+Sheet4!G156+Sheet4!H156+Sheet4!I156+Sheet4!J156+Sheet4!K156+Sheet4!L156+Sheet4!M156+Sheet4!N156+Sheet4!O156+Sheet4!P156+Sheet4!Q156+Sheet4!R156+Sheet4!S156</f>
        <v>1.0999999999999999E-2</v>
      </c>
      <c r="H156" s="1">
        <v>7.1999999999999995E-2</v>
      </c>
      <c r="I156" s="1">
        <v>298</v>
      </c>
      <c r="J156" s="2">
        <v>1.7099999999999999E-3</v>
      </c>
      <c r="K156" s="1">
        <f t="shared" si="23"/>
        <v>-2.7670038896078464</v>
      </c>
      <c r="L156" s="1">
        <v>0.38300000000000001</v>
      </c>
      <c r="M156" s="1">
        <v>0</v>
      </c>
      <c r="N156" s="1">
        <v>0</v>
      </c>
      <c r="O156" s="1">
        <v>0</v>
      </c>
      <c r="P156" s="1">
        <v>13</v>
      </c>
      <c r="Q156" s="1">
        <v>1.61</v>
      </c>
      <c r="R156" s="1">
        <v>0.53500000000000003</v>
      </c>
    </row>
    <row r="157" spans="1:22">
      <c r="A157" s="1">
        <v>0.34599999999999997</v>
      </c>
      <c r="B157" s="1">
        <v>0.56000000000000005</v>
      </c>
      <c r="C157" s="1">
        <v>0.99</v>
      </c>
      <c r="D157" s="1">
        <v>3</v>
      </c>
      <c r="E157" s="1">
        <v>1</v>
      </c>
      <c r="F157" s="1">
        <f>A157*6.941+B157*138.91+C157*47.867+D157*16+Sheet4!A157*87.62+Sheet4!B157*40.078+Sheet4!C157*26.982+Sheet4!D157*114.82+Sheet4!E157*58.993+Sheet4!F157*19+Sheet4!G157*23+Sheet4!H157*50.942+Sheet4!I157*92.906+Sheet4!J157*144.24+Sheet4!K157*107.87+Sheet4!L157*180.95+Sheet4!M157*91.224+Sheet4!N157*178.49</f>
        <v>175.93028200000001</v>
      </c>
      <c r="G157" s="1">
        <f>Sheet4!A157+Sheet4!C157+Sheet4!D157+Sheet4!E157+Sheet4!F157+Sheet4!G157+Sheet4!H157+Sheet4!I157+Sheet4!J157+Sheet4!K157+Sheet4!L157+Sheet4!M157+Sheet4!N157+Sheet4!O157+Sheet4!P157+Sheet4!Q157+Sheet4!R157+Sheet4!S157</f>
        <v>1.2999999999999999E-2</v>
      </c>
      <c r="H157" s="1">
        <v>9.4E-2</v>
      </c>
      <c r="I157" s="1">
        <v>298</v>
      </c>
      <c r="J157" s="2">
        <v>1.2700000000000001E-3</v>
      </c>
      <c r="K157" s="1">
        <f t="shared" si="23"/>
        <v>-2.8961962790440432</v>
      </c>
      <c r="L157" s="1">
        <v>0.40799999999999997</v>
      </c>
      <c r="M157" s="1">
        <v>0</v>
      </c>
      <c r="N157" s="1">
        <v>0</v>
      </c>
      <c r="O157" s="1">
        <v>0</v>
      </c>
      <c r="P157" s="1">
        <v>13</v>
      </c>
      <c r="Q157" s="1">
        <v>1.61</v>
      </c>
      <c r="R157" s="1">
        <v>0.53500000000000003</v>
      </c>
    </row>
  </sheetData>
  <mergeCells count="1">
    <mergeCell ref="W6:AA7"/>
  </mergeCells>
  <phoneticPr fontId="1" type="noConversion"/>
  <hyperlinks>
    <hyperlink ref="V21" r:id="rId1" xr:uid="{27B1476D-0B02-C641-B6F6-96AE348112B0}"/>
    <hyperlink ref="V27" r:id="rId2" xr:uid="{63BC2607-D2CC-A546-A1DA-66F09857031C}"/>
    <hyperlink ref="V15" r:id="rId3" xr:uid="{F3F1C4EF-1B16-F74C-A565-C79B0490DD25}"/>
    <hyperlink ref="V31" r:id="rId4" xr:uid="{A97C3C49-DD94-074E-9D40-E2C1A18064AB}"/>
    <hyperlink ref="V42" r:id="rId5" tooltip="Link to landing page via DOI" xr:uid="{B5A8EA55-B5D6-8D4D-9F7D-E2193C4EDF39}"/>
    <hyperlink ref="V2" r:id="rId6" xr:uid="{E134FCC0-23F7-5C4D-8BD2-A6D11C81A08E}"/>
    <hyperlink ref="V6" r:id="rId7" xr:uid="{88F43D8F-451D-774B-BB14-9883F73762EB}"/>
    <hyperlink ref="V19" r:id="rId8" xr:uid="{83ED5FA7-B3B9-1745-BC85-B7321CBDE59F}"/>
    <hyperlink ref="V67" r:id="rId9" xr:uid="{347FD0CB-591E-B542-BEC9-5DFF7A6C0678}"/>
    <hyperlink ref="V72" r:id="rId10" xr:uid="{39682768-E92E-FB49-B9A5-A90F70015F31}"/>
    <hyperlink ref="V76" r:id="rId11" xr:uid="{86146167-C11B-C84C-BD0B-74668783A8D0}"/>
    <hyperlink ref="V90" r:id="rId12" tooltip="Persistent link using digital object identifier" xr:uid="{F696C798-8C4B-3C40-A361-88109EA2E3FD}"/>
    <hyperlink ref="V94" r:id="rId13" xr:uid="{C21E6FDB-6171-624D-9F8B-2666AB62F2EC}"/>
    <hyperlink ref="V102" r:id="rId14" xr:uid="{AD6B8A47-490F-4A44-BD93-61056AEDCDA8}"/>
    <hyperlink ref="V133" r:id="rId15" tooltip="Persistent link using digital object identifier" xr:uid="{79F1F335-F880-F54A-B083-955AD9DDB563}"/>
    <hyperlink ref="V138" r:id="rId16" tooltip="Persistent link using digital object identifier" xr:uid="{DFB55A55-B006-9043-A3CE-D68C8E6EE5AC}"/>
    <hyperlink ref="V149" r:id="rId17" xr:uid="{CEDCE114-66B2-264E-89F4-D55FCC65C05F}"/>
    <hyperlink ref="V154" r:id="rId18" xr:uid="{626EC421-CB39-814D-B004-B8220A2A0406}"/>
    <hyperlink ref="V87" r:id="rId19" xr:uid="{58822514-3723-BE49-8FA5-660691479A98}"/>
    <hyperlink ref="V71" r:id="rId20" xr:uid="{B2D553E5-1C6A-A74B-81A5-ACD581958380}"/>
    <hyperlink ref="V61" r:id="rId21" xr:uid="{234E77BA-F108-DC40-8B62-17B17AAD9E74}"/>
    <hyperlink ref="V55" r:id="rId22" xr:uid="{100D4BB6-93D0-AD49-834D-21F4146A7891}"/>
    <hyperlink ref="V45" r:id="rId23" xr:uid="{A9EEA002-3F1B-774D-9A12-6E100C9DCBDA}"/>
  </hyperlinks>
  <pageMargins left="0.7" right="0.7" top="0.75" bottom="0.75" header="0.3" footer="0.3"/>
  <pageSetup paperSize="9" orientation="portrait" horizontalDpi="0" verticalDpi="0"/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611-FFD9-9E40-8A80-4866E14B1186}">
  <dimension ref="A1:S157"/>
  <sheetViews>
    <sheetView topLeftCell="A126" workbookViewId="0">
      <selection activeCell="D120" sqref="D120"/>
    </sheetView>
  </sheetViews>
  <sheetFormatPr baseColWidth="10" defaultRowHeight="16"/>
  <cols>
    <col min="1" max="19" width="14.83203125" style="1" customWidth="1"/>
  </cols>
  <sheetData>
    <row r="1" spans="1:19">
      <c r="A1" s="1" t="s">
        <v>15</v>
      </c>
      <c r="B1" s="1" t="s">
        <v>35</v>
      </c>
      <c r="C1" s="1" t="s">
        <v>16</v>
      </c>
      <c r="D1" s="1" t="s">
        <v>18</v>
      </c>
      <c r="E1" s="1" t="s">
        <v>17</v>
      </c>
      <c r="F1" s="1" t="s">
        <v>20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27</v>
      </c>
      <c r="L1" s="1" t="s">
        <v>28</v>
      </c>
      <c r="M1" s="1" t="s">
        <v>34</v>
      </c>
      <c r="N1" s="1" t="s">
        <v>33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</row>
    <row r="2" spans="1:19">
      <c r="A2" s="1">
        <v>0.3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  <row r="3" spans="1:19">
      <c r="A3" s="1">
        <v>0.3</v>
      </c>
      <c r="B3" s="1">
        <v>0</v>
      </c>
      <c r="C3" s="1">
        <v>5.0000000000000001E-3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>
      <c r="A4" s="1">
        <v>0.3</v>
      </c>
      <c r="B4" s="1">
        <v>0</v>
      </c>
      <c r="C4" s="1">
        <v>0</v>
      </c>
      <c r="D4" s="1">
        <v>0</v>
      </c>
      <c r="E4" s="1">
        <v>5.0000000000000001E-3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19">
      <c r="A5" s="1">
        <v>0.3</v>
      </c>
      <c r="B5" s="1">
        <v>0</v>
      </c>
      <c r="C5" s="1">
        <v>0</v>
      </c>
      <c r="D5" s="1">
        <v>5.0000000000000001E-3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>
      <c r="A7" s="1">
        <v>0.03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>
      <c r="A8" s="1">
        <v>0.06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>
      <c r="A9" s="1">
        <f>Sheet1!A9</f>
        <v>0.06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>
      <c r="A10" s="1">
        <f>Sheet1!A10</f>
        <v>0.1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19">
      <c r="A11" s="1">
        <f>Sheet1!A11</f>
        <v>0.15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</row>
    <row r="12" spans="1:19">
      <c r="A12" s="1">
        <f>Sheet1!A12</f>
        <v>0.25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</row>
    <row r="13" spans="1:19">
      <c r="A13" s="1">
        <f>Sheet1!A13</f>
        <v>0.27500000000000002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</row>
    <row r="14" spans="1:19">
      <c r="A14" s="1">
        <f>Sheet1!A14</f>
        <v>0.3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</row>
    <row r="15" spans="1:19">
      <c r="A15" s="1">
        <v>0.25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</row>
    <row r="16" spans="1:19">
      <c r="A16" s="1">
        <v>0.125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19">
      <c r="A17" s="1">
        <f>1/16</f>
        <v>6.25E-2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1:19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</row>
    <row r="19" spans="1:19">
      <c r="A19" s="1">
        <v>0</v>
      </c>
      <c r="B19" s="1">
        <v>0</v>
      </c>
      <c r="C19" s="1">
        <v>0.1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r="20" spans="1:19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</row>
    <row r="21" spans="1:19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</row>
    <row r="22" spans="1:19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19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</row>
    <row r="26" spans="1:19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1:19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0.05</v>
      </c>
      <c r="P31" s="1">
        <v>0</v>
      </c>
      <c r="Q31" s="1">
        <v>0</v>
      </c>
      <c r="R31" s="1">
        <v>0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0.05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0.05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0.05</v>
      </c>
      <c r="S35" s="1">
        <v>0</v>
      </c>
    </row>
    <row r="36" spans="1:19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0.1</v>
      </c>
    </row>
    <row r="37" spans="1:19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</row>
    <row r="38" spans="1:19">
      <c r="A38" s="1">
        <v>0</v>
      </c>
      <c r="B38" s="1">
        <v>0</v>
      </c>
      <c r="C38" s="1">
        <v>5.0000000000000001E-3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</row>
    <row r="39" spans="1:19">
      <c r="A39" s="1">
        <v>0</v>
      </c>
      <c r="B39" s="1">
        <v>0</v>
      </c>
      <c r="C39" s="1">
        <v>8.0000000000000002E-3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5.0000000000000001E-3</v>
      </c>
    </row>
    <row r="41" spans="1:19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0.05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0.08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0.1</v>
      </c>
      <c r="R44" s="1">
        <v>0</v>
      </c>
      <c r="S44" s="1">
        <v>0</v>
      </c>
    </row>
    <row r="45" spans="1:19">
      <c r="A45" s="1">
        <v>0</v>
      </c>
      <c r="B45" s="1">
        <v>0</v>
      </c>
      <c r="C45" s="1">
        <v>0.01</v>
      </c>
      <c r="D45" s="1">
        <v>0</v>
      </c>
      <c r="E45" s="1">
        <v>0</v>
      </c>
      <c r="F45" s="1">
        <v>0.01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</row>
    <row r="46" spans="1:19">
      <c r="A46" s="1">
        <v>0</v>
      </c>
      <c r="B46" s="1">
        <v>0</v>
      </c>
      <c r="C46" s="1">
        <v>0.02</v>
      </c>
      <c r="D46" s="1">
        <v>0</v>
      </c>
      <c r="E46" s="1">
        <v>0</v>
      </c>
      <c r="F46" s="1">
        <v>0.02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19">
      <c r="A47" s="1">
        <v>0</v>
      </c>
      <c r="B47" s="1">
        <v>0</v>
      </c>
      <c r="C47" s="1">
        <v>0.03</v>
      </c>
      <c r="D47" s="1">
        <v>0</v>
      </c>
      <c r="E47" s="1">
        <v>0</v>
      </c>
      <c r="F47" s="1">
        <v>0.03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</row>
    <row r="48" spans="1:19">
      <c r="A48" s="1">
        <v>0</v>
      </c>
      <c r="B48" s="1">
        <v>0</v>
      </c>
      <c r="C48" s="1">
        <v>0.04</v>
      </c>
      <c r="D48" s="1">
        <v>0</v>
      </c>
      <c r="E48" s="1">
        <v>0</v>
      </c>
      <c r="F48" s="1">
        <v>0.04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</row>
    <row r="49" spans="1:19">
      <c r="A49" s="1">
        <v>0</v>
      </c>
      <c r="B49" s="1">
        <v>0</v>
      </c>
      <c r="C49" s="1">
        <v>0.05</v>
      </c>
      <c r="D49" s="1">
        <v>0</v>
      </c>
      <c r="E49" s="1">
        <v>0</v>
      </c>
      <c r="F49" s="1">
        <v>0.05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</row>
    <row r="50" spans="1:19">
      <c r="A50" s="1">
        <v>0</v>
      </c>
      <c r="B50" s="1">
        <v>0</v>
      </c>
      <c r="C50" s="1">
        <v>0.06</v>
      </c>
      <c r="D50" s="1">
        <v>0</v>
      </c>
      <c r="E50" s="1">
        <v>0</v>
      </c>
      <c r="F50" s="1">
        <v>0.06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</row>
    <row r="51" spans="1:19">
      <c r="A51" s="1">
        <v>0</v>
      </c>
      <c r="B51" s="1">
        <v>0</v>
      </c>
      <c r="C51" s="1">
        <v>7.0000000000000007E-2</v>
      </c>
      <c r="D51" s="1">
        <v>0</v>
      </c>
      <c r="E51" s="1">
        <v>0</v>
      </c>
      <c r="F51" s="1">
        <v>7.0000000000000007E-2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</row>
    <row r="52" spans="1:19">
      <c r="A52" s="1">
        <v>0</v>
      </c>
      <c r="B52" s="1">
        <v>0</v>
      </c>
      <c r="C52" s="1">
        <v>0.08</v>
      </c>
      <c r="D52" s="1">
        <v>0</v>
      </c>
      <c r="E52" s="1">
        <v>0</v>
      </c>
      <c r="F52" s="1">
        <v>0.08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</row>
    <row r="53" spans="1:19">
      <c r="A53" s="1">
        <v>0</v>
      </c>
      <c r="B53" s="1">
        <v>0</v>
      </c>
      <c r="C53" s="1">
        <v>0.09</v>
      </c>
      <c r="D53" s="1">
        <v>0</v>
      </c>
      <c r="E53" s="1">
        <v>0</v>
      </c>
      <c r="F53" s="1">
        <v>0.09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</row>
    <row r="54" spans="1:19">
      <c r="A54" s="1">
        <v>0</v>
      </c>
      <c r="B54" s="1">
        <v>0</v>
      </c>
      <c r="C54" s="1">
        <v>0.1</v>
      </c>
      <c r="D54" s="1">
        <v>0</v>
      </c>
      <c r="E54" s="1">
        <v>0</v>
      </c>
      <c r="F54" s="1">
        <v>0.1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</row>
    <row r="55" spans="1:19">
      <c r="A55" s="1">
        <v>0</v>
      </c>
      <c r="B55" s="1">
        <v>0</v>
      </c>
      <c r="C55" s="1">
        <f>Sheet1!A55</f>
        <v>0.06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</row>
    <row r="56" spans="1:19">
      <c r="A56" s="1">
        <v>0</v>
      </c>
      <c r="B56" s="1">
        <v>0</v>
      </c>
      <c r="C56" s="1">
        <f>Sheet1!A56</f>
        <v>0.1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</row>
    <row r="57" spans="1:19">
      <c r="A57" s="1">
        <v>0</v>
      </c>
      <c r="B57" s="1">
        <v>0</v>
      </c>
      <c r="C57" s="1">
        <f>Sheet1!A57</f>
        <v>0.15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</row>
    <row r="58" spans="1:19">
      <c r="A58" s="1">
        <v>0</v>
      </c>
      <c r="B58" s="1">
        <v>0</v>
      </c>
      <c r="C58" s="1">
        <f>Sheet1!A58</f>
        <v>0.25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</row>
    <row r="59" spans="1:19">
      <c r="A59" s="1">
        <v>0</v>
      </c>
      <c r="B59" s="1">
        <v>0</v>
      </c>
      <c r="C59" s="1">
        <f>Sheet1!A59</f>
        <v>0.27500000000000002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</row>
    <row r="60" spans="1:19">
      <c r="A60" s="1">
        <v>0</v>
      </c>
      <c r="B60" s="1">
        <v>0</v>
      </c>
      <c r="C60" s="1">
        <f>Sheet1!A60</f>
        <v>0.3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</row>
    <row r="61" spans="1:19">
      <c r="A61" s="1">
        <v>0.06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</row>
    <row r="62" spans="1:19">
      <c r="A62" s="1">
        <v>0.1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</row>
    <row r="63" spans="1:19">
      <c r="A63" s="1">
        <v>0.15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</row>
    <row r="64" spans="1:19">
      <c r="A64" s="1">
        <v>0.25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</row>
    <row r="65" spans="1:19">
      <c r="A65" s="1">
        <v>0.27500000000000002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</row>
    <row r="66" spans="1:19">
      <c r="A66" s="1">
        <v>0.3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</row>
    <row r="67" spans="1:19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</row>
    <row r="68" spans="1:19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</row>
    <row r="69" spans="1:19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</row>
    <row r="70" spans="1:19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</row>
    <row r="71" spans="1:19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</row>
    <row r="72" spans="1:19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f>3-Sheet1!D72</f>
        <v>2.9999999999999805E-2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</row>
    <row r="73" spans="1:19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f>3-Sheet1!D73</f>
        <v>5.1000000000000156E-2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</row>
    <row r="74" spans="1:19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f>3-Sheet1!D74</f>
        <v>9.9000000000000199E-2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f>3-Sheet1!D75</f>
        <v>0.14999999999999991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0.05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0.1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0.15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0.05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0.1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</row>
    <row r="81" spans="1:19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0.15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2.5000000000000001E-3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5.0000000000000001E-3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7.4999999999999997E-3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0.02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</row>
    <row r="86" spans="1:19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0.1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</row>
    <row r="87" spans="1:19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f>0.33*0.27</f>
        <v>8.9100000000000013E-2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f>0.5*0.27</f>
        <v>0.13500000000000001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f>0.67*0.27</f>
        <v>0.18090000000000003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0.1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0.2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0.3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</row>
    <row r="93" spans="1:19">
      <c r="A93" s="1">
        <v>0</v>
      </c>
      <c r="B93" s="1">
        <v>0</v>
      </c>
      <c r="C93" s="1">
        <v>0.4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</row>
    <row r="94" spans="1:19">
      <c r="A94" s="1">
        <f>0.5+0.013</f>
        <v>0.51300000000000001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0.5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</row>
    <row r="95" spans="1:19">
      <c r="A95" s="1">
        <f>0.5+0.025</f>
        <v>0.52500000000000002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0.5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</row>
    <row r="96" spans="1:19">
      <c r="A96" s="1">
        <f>0.5+0.05</f>
        <v>0.55000000000000004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0.5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</row>
    <row r="97" spans="1:19">
      <c r="A97" s="1">
        <f>0.5+0.075</f>
        <v>0.57499999999999996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0.5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</row>
    <row r="98" spans="1:19">
      <c r="A98" s="1">
        <f>0.5+0.1</f>
        <v>0.6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0.5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</row>
    <row r="99" spans="1:19">
      <c r="A99" s="1">
        <f>0.5+0.113</f>
        <v>0.61299999999999999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0.5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</row>
    <row r="100" spans="1:19">
      <c r="A100" s="1">
        <f>0.5+0.125</f>
        <v>0.625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0.5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</row>
    <row r="101" spans="1:19">
      <c r="A101" s="1">
        <f>0.5+0.15</f>
        <v>0.65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0.5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</row>
    <row r="102" spans="1:19">
      <c r="A102" s="1">
        <v>0</v>
      </c>
      <c r="B102" s="1">
        <v>0</v>
      </c>
      <c r="C102" s="1">
        <f>4/3*(2-Sheet1!C102)</f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</row>
    <row r="103" spans="1:19">
      <c r="A103" s="1">
        <v>0</v>
      </c>
      <c r="B103" s="1">
        <v>0</v>
      </c>
      <c r="C103" s="1">
        <f>4/3*(2-Sheet1!C103)</f>
        <v>2.6666666666666689E-2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</row>
    <row r="104" spans="1:19">
      <c r="A104" s="1">
        <v>0</v>
      </c>
      <c r="B104" s="1">
        <v>0</v>
      </c>
      <c r="C104" s="1">
        <f>4/3*(2-Sheet1!C104)</f>
        <v>5.3333333333333378E-2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</row>
    <row r="105" spans="1:19">
      <c r="A105" s="1">
        <v>0</v>
      </c>
      <c r="B105" s="1">
        <v>0</v>
      </c>
      <c r="C105" s="1">
        <f>4/3*(2-Sheet1!C105)</f>
        <v>8.0000000000000071E-2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</row>
    <row r="106" spans="1:19">
      <c r="A106" s="1">
        <v>0</v>
      </c>
      <c r="B106" s="1">
        <v>0</v>
      </c>
      <c r="C106" s="1">
        <f>4/3*(2-Sheet1!C106)</f>
        <v>0.10666666666666676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</row>
    <row r="107" spans="1:19">
      <c r="A107" s="1">
        <v>0</v>
      </c>
      <c r="B107" s="1">
        <v>0</v>
      </c>
      <c r="C107" s="1">
        <f>4/3*(2-Sheet1!C107)</f>
        <v>0.13333333333333344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</row>
    <row r="108" spans="1:19">
      <c r="A108" s="1">
        <v>0</v>
      </c>
      <c r="B108" s="1">
        <v>0</v>
      </c>
      <c r="C108" s="1">
        <f>4/3*(2-Sheet1!C108)</f>
        <v>0.16000000000000014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</row>
    <row r="109" spans="1:19">
      <c r="A109" s="1">
        <v>0</v>
      </c>
      <c r="B109" s="1">
        <v>0</v>
      </c>
      <c r="C109" s="1">
        <f>4/3*(2-Sheet1!C109)</f>
        <v>0.18666666666666654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</row>
    <row r="110" spans="1:19">
      <c r="A110" s="1">
        <v>0</v>
      </c>
      <c r="B110" s="1">
        <v>0</v>
      </c>
      <c r="C110" s="1">
        <f>4/3*(2-Sheet1!C110)</f>
        <v>0.21333333333333321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</row>
    <row r="111" spans="1:19">
      <c r="A111" s="1">
        <v>0</v>
      </c>
      <c r="B111" s="1">
        <v>0</v>
      </c>
      <c r="C111" s="1">
        <f>4/3*(2-Sheet1!C111)</f>
        <v>0.23999999999999991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</row>
    <row r="112" spans="1:19">
      <c r="A112" s="1">
        <v>0</v>
      </c>
      <c r="B112" s="1">
        <v>0</v>
      </c>
      <c r="C112" s="1">
        <f>4/3*(2-Sheet1!C112)</f>
        <v>0.26666666666666661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</row>
    <row r="113" spans="1:19">
      <c r="A113" s="1">
        <v>0</v>
      </c>
      <c r="B113" s="1">
        <v>0</v>
      </c>
      <c r="C113" s="1">
        <f>4/3*(2-Sheet1!C113)</f>
        <v>0.29333333333333328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</row>
    <row r="114" spans="1:19">
      <c r="A114" s="1">
        <v>0</v>
      </c>
      <c r="B114" s="1">
        <v>0</v>
      </c>
      <c r="C114" s="1">
        <f>4/3*(2-Sheet1!C114)</f>
        <v>0.31999999999999995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</row>
    <row r="115" spans="1:19">
      <c r="A115" s="1">
        <v>0</v>
      </c>
      <c r="B115" s="1">
        <v>0</v>
      </c>
      <c r="C115" s="1">
        <f>4/3*(2-Sheet1!C115)</f>
        <v>0.34666666666666668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</row>
    <row r="116" spans="1:19">
      <c r="A116" s="1">
        <v>0</v>
      </c>
      <c r="B116" s="1">
        <v>0</v>
      </c>
      <c r="C116" s="1">
        <f>4/3*(2-Sheet1!C116)</f>
        <v>0.37333333333333335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</row>
    <row r="117" spans="1:19">
      <c r="A117" s="1">
        <v>0</v>
      </c>
      <c r="B117" s="1">
        <v>0</v>
      </c>
      <c r="C117" s="1">
        <f>4/3*(2-Sheet1!C117)</f>
        <v>0.4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</row>
    <row r="118" spans="1:19">
      <c r="A118" s="1">
        <v>0</v>
      </c>
      <c r="B118" s="1">
        <v>0</v>
      </c>
      <c r="C118" s="1">
        <f>4/3*(2-Sheet1!C118)</f>
        <v>0.42666666666666675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</row>
    <row r="119" spans="1:19">
      <c r="A119" s="1">
        <v>0</v>
      </c>
      <c r="B119" s="1">
        <v>0</v>
      </c>
      <c r="C119" s="1">
        <f>4/3*(2-Sheet1!C119)</f>
        <v>0.45333333333333342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</row>
    <row r="120" spans="1:19">
      <c r="A120" s="1">
        <v>0</v>
      </c>
      <c r="B120" s="1">
        <v>0</v>
      </c>
      <c r="C120" s="1">
        <f>4/3*(2-Sheet1!C120)</f>
        <v>0.48000000000000009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</row>
    <row r="121" spans="1:19">
      <c r="A121" s="1">
        <v>0</v>
      </c>
      <c r="B121" s="1">
        <v>0</v>
      </c>
      <c r="C121" s="1">
        <f>4/3*(2-Sheet1!C121)</f>
        <v>0.50666666666666649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0</v>
      </c>
      <c r="C122" s="1">
        <f>4/3*(2-Sheet1!C122)</f>
        <v>0.53333333333333321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f>4/3*(2-Sheet1!C123)</f>
        <v>0.55999999999999983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f>4/3*(2-Sheet1!C124)</f>
        <v>0.58666666666666656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f>4/3*(2-Sheet1!C125)</f>
        <v>0.61333333333333329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f>4/3*(2-Sheet1!C126)</f>
        <v>0.6399999999999999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f>4/3*(2-Sheet1!C127)</f>
        <v>0.66666666666666663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f>4/3*(2-Sheet1!C128)</f>
        <v>0.69333333333333336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f>4/3*(2-Sheet1!C129)</f>
        <v>0.72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f>4/3*(2-Sheet1!C130)</f>
        <v>0.7466666666666667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f>4/3*(2-Sheet1!C131)</f>
        <v>0.77333333333333343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f>4/3*(2-Sheet1!C132)</f>
        <v>0.8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</row>
    <row r="133" spans="1:19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0.01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0.03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0.05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7.0000000000000007E-2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f>0.56*0</f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f>0.56*0.25</f>
        <v>0.14000000000000001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</row>
    <row r="140" spans="1:19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f>0.56*0.5</f>
        <v>0.28000000000000003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</row>
    <row r="141" spans="1:19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f>0.56*0.75</f>
        <v>0.42000000000000004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</row>
    <row r="142" spans="1:19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f>0.56*1</f>
        <v>0.56000000000000005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</row>
    <row r="143" spans="1:19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0.05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</row>
    <row r="144" spans="1:19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0.1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</row>
    <row r="145" spans="1:19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0.05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</row>
    <row r="146" spans="1:19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0.1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</row>
    <row r="147" spans="1:19">
      <c r="A147" s="1">
        <f>0.5*0.56</f>
        <v>0.28000000000000003</v>
      </c>
      <c r="B147" s="1">
        <f>0.56-A147</f>
        <v>0.28000000000000003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0.56000000000000005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</row>
    <row r="148" spans="1:19">
      <c r="A148" s="1">
        <f>1*0.56</f>
        <v>0.56000000000000005</v>
      </c>
      <c r="B148" s="1">
        <f>0.56-A148</f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0.56000000000000005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</row>
    <row r="149" spans="1:19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</row>
    <row r="150" spans="1:19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0.01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</row>
    <row r="151" spans="1:19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0.03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</row>
    <row r="152" spans="1:19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0.05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</row>
    <row r="153" spans="1:19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7.0000000000000007E-2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</row>
    <row r="154" spans="1:19">
      <c r="A154" s="1">
        <v>0</v>
      </c>
      <c r="B154" s="1">
        <v>0</v>
      </c>
      <c r="C154" s="1">
        <v>1.2999999999999999E-2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</row>
    <row r="155" spans="1:19">
      <c r="A155" s="1">
        <v>0</v>
      </c>
      <c r="B155" s="1">
        <v>0</v>
      </c>
      <c r="C155" s="1">
        <v>1.2E-2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</row>
    <row r="156" spans="1:19">
      <c r="A156" s="1">
        <v>0</v>
      </c>
      <c r="B156" s="1">
        <v>0</v>
      </c>
      <c r="C156" s="1">
        <v>1.0999999999999999E-2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</row>
    <row r="157" spans="1:19">
      <c r="A157" s="1">
        <v>0</v>
      </c>
      <c r="B157" s="1">
        <v>0</v>
      </c>
      <c r="C157" s="1">
        <v>1.2999999999999999E-2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4a7be17-42a7-4895-b396-7c3f2182627a" xsi:nil="true"/>
    <lcf76f155ced4ddcb4097134ff3c332f xmlns="f5e24018-62b3-45b8-bc32-914ae7fd4c6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0555FA5C51D20F4586788B57515E50C1" ma:contentTypeVersion="13" ma:contentTypeDescription="新建文档。" ma:contentTypeScope="" ma:versionID="050950b3659de9bfa07fa8cadcc93cf9">
  <xsd:schema xmlns:xsd="http://www.w3.org/2001/XMLSchema" xmlns:xs="http://www.w3.org/2001/XMLSchema" xmlns:p="http://schemas.microsoft.com/office/2006/metadata/properties" xmlns:ns2="f5e24018-62b3-45b8-bc32-914ae7fd4c63" xmlns:ns3="54a7be17-42a7-4895-b396-7c3f2182627a" targetNamespace="http://schemas.microsoft.com/office/2006/metadata/properties" ma:root="true" ma:fieldsID="eb99d5bd16157f81bcce70f32aa1463d" ns2:_="" ns3:_="">
    <xsd:import namespace="f5e24018-62b3-45b8-bc32-914ae7fd4c63"/>
    <xsd:import namespace="54a7be17-42a7-4895-b396-7c3f218262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24018-62b3-45b8-bc32-914ae7fd4c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图像标记" ma:readOnly="false" ma:fieldId="{5cf76f15-5ced-4ddc-b409-7134ff3c332f}" ma:taxonomyMulti="true" ma:sspId="579a89b1-2c2c-4f7f-9bd7-7914fb13a0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7be17-42a7-4895-b396-7c3f2182627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b606cf9-c591-413a-a433-53765df15d3c}" ma:internalName="TaxCatchAll" ma:showField="CatchAllData" ma:web="54a7be17-42a7-4895-b396-7c3f218262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DC13A8-17E9-47B3-BF79-F014A2D7ED14}">
  <ds:schemaRefs>
    <ds:schemaRef ds:uri="http://purl.org/dc/elements/1.1/"/>
    <ds:schemaRef ds:uri="f5e24018-62b3-45b8-bc32-914ae7fd4c63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terms/"/>
    <ds:schemaRef ds:uri="54a7be17-42a7-4895-b396-7c3f2182627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86BDACB-4551-405B-A2B2-D51311F77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e24018-62b3-45b8-bc32-914ae7fd4c63"/>
    <ds:schemaRef ds:uri="54a7be17-42a7-4895-b396-7c3f218262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038A57-1645-4957-99F5-5A61B661CC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Ziquan WO</dc:creator>
  <cp:lastModifiedBy>Ziquan WO</cp:lastModifiedBy>
  <dcterms:created xsi:type="dcterms:W3CDTF">2023-03-17T15:32:59Z</dcterms:created>
  <dcterms:modified xsi:type="dcterms:W3CDTF">2023-08-28T19:13:18Z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0x0101000555FA5C51D20F4586788B57515E50C1</vt:lpwstr>
  </property>
</Properties>
</file>