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4180" yWindow="680" windowWidth="25440" windowHeight="12140"/>
  </bookViews>
  <sheets>
    <sheet name="cothr" sheetId="1" r:id="rId1"/>
    <sheet name="FCT" sheetId="2" r:id="rId2"/>
    <sheet name="Weighted composi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 i="2" l="1"/>
  <c r="S4" i="2"/>
  <c r="S5" i="2"/>
  <c r="S6" i="2"/>
  <c r="S7" i="2"/>
  <c r="S8" i="2"/>
  <c r="S2" i="2"/>
  <c r="N2" i="1"/>
  <c r="V2" i="1"/>
  <c r="W2" i="1"/>
  <c r="Y2" i="1"/>
  <c r="N3" i="1"/>
  <c r="V3" i="1"/>
  <c r="W3" i="1"/>
  <c r="Y3" i="1"/>
  <c r="N4" i="1"/>
  <c r="V4" i="1"/>
  <c r="W4" i="1"/>
  <c r="Y4" i="1"/>
  <c r="N5" i="1"/>
  <c r="V5" i="1"/>
  <c r="W5" i="1"/>
  <c r="Y5" i="1"/>
  <c r="N6" i="1"/>
  <c r="V6" i="1"/>
  <c r="W6" i="1"/>
  <c r="Y6" i="1"/>
  <c r="N7" i="1"/>
  <c r="V7" i="1"/>
  <c r="W7" i="1"/>
  <c r="Y7" i="1"/>
  <c r="N8" i="1"/>
  <c r="V8" i="1"/>
  <c r="W8" i="1"/>
  <c r="Y8" i="1"/>
  <c r="N9" i="1"/>
  <c r="V9" i="1"/>
  <c r="W9" i="1"/>
  <c r="Y9" i="1"/>
  <c r="Y10" i="1" a="1"/>
  <c r="Y10" i="1"/>
  <c r="AA2" i="1"/>
  <c r="B2" i="3"/>
  <c r="AA3" i="1"/>
  <c r="B3" i="3"/>
  <c r="AA4" i="1"/>
  <c r="B4" i="3"/>
  <c r="AA5" i="1"/>
  <c r="B5" i="3"/>
  <c r="AA6" i="1"/>
  <c r="B6" i="3"/>
  <c r="AA7" i="1"/>
  <c r="B7" i="3"/>
  <c r="AA8" i="1"/>
  <c r="B8" i="3"/>
  <c r="AA9" i="1"/>
  <c r="B9" i="3"/>
  <c r="B10" i="3"/>
  <c r="F2" i="3"/>
  <c r="F3" i="3"/>
  <c r="F4" i="3"/>
  <c r="F5" i="3"/>
  <c r="F6" i="3"/>
  <c r="F7" i="3"/>
  <c r="F8" i="3"/>
  <c r="F9" i="3"/>
  <c r="F10" i="3"/>
  <c r="G2" i="3"/>
  <c r="G3" i="3"/>
  <c r="G4" i="3"/>
  <c r="G5" i="3"/>
  <c r="G6" i="3"/>
  <c r="G7" i="3"/>
  <c r="G8" i="3"/>
  <c r="G9" i="3"/>
  <c r="G10" i="3"/>
  <c r="H2" i="3"/>
  <c r="H3" i="3"/>
  <c r="H4" i="3"/>
  <c r="H5" i="3"/>
  <c r="H6" i="3"/>
  <c r="H7" i="3"/>
  <c r="H8" i="3"/>
  <c r="H9" i="3"/>
  <c r="H10" i="3"/>
  <c r="I2" i="3"/>
  <c r="I3" i="3"/>
  <c r="I4" i="3"/>
  <c r="I5" i="3"/>
  <c r="I6" i="3"/>
  <c r="I7" i="3"/>
  <c r="I8" i="3"/>
  <c r="I9" i="3"/>
  <c r="I10" i="3"/>
  <c r="J2" i="3"/>
  <c r="J3" i="3"/>
  <c r="J4" i="3"/>
  <c r="J5" i="3"/>
  <c r="J6" i="3"/>
  <c r="J7" i="3"/>
  <c r="J8" i="3"/>
  <c r="J9" i="3"/>
  <c r="J10" i="3"/>
  <c r="K2" i="3"/>
  <c r="K3" i="3"/>
  <c r="K4" i="3"/>
  <c r="K5" i="3"/>
  <c r="K6" i="3"/>
  <c r="K7" i="3"/>
  <c r="K8" i="3"/>
  <c r="K9" i="3"/>
  <c r="K10" i="3"/>
  <c r="L2" i="3"/>
  <c r="L3" i="3"/>
  <c r="L4" i="3"/>
  <c r="L5" i="3"/>
  <c r="L6" i="3"/>
  <c r="L7" i="3"/>
  <c r="L8" i="3"/>
  <c r="L9" i="3"/>
  <c r="L10" i="3"/>
  <c r="M2" i="3"/>
  <c r="M3" i="3"/>
  <c r="M4" i="3"/>
  <c r="M5" i="3"/>
  <c r="M6" i="3"/>
  <c r="M7" i="3"/>
  <c r="M8" i="3"/>
  <c r="M9" i="3"/>
  <c r="M10" i="3"/>
  <c r="N2" i="3"/>
  <c r="N3" i="3"/>
  <c r="N4" i="3"/>
  <c r="N5" i="3"/>
  <c r="N6" i="3"/>
  <c r="N7" i="3"/>
  <c r="N8" i="3"/>
  <c r="N9" i="3"/>
  <c r="N10" i="3"/>
  <c r="O2" i="3"/>
  <c r="O3" i="3"/>
  <c r="O4" i="3"/>
  <c r="O5" i="3"/>
  <c r="O6" i="3"/>
  <c r="O7" i="3"/>
  <c r="O8" i="3"/>
  <c r="O9" i="3"/>
  <c r="O10" i="3"/>
  <c r="P2" i="3"/>
  <c r="P3" i="3"/>
  <c r="P4" i="3"/>
  <c r="P5" i="3"/>
  <c r="P6" i="3"/>
  <c r="P7" i="3"/>
  <c r="P8" i="3"/>
  <c r="P9" i="3"/>
  <c r="P10" i="3"/>
  <c r="Q2" i="3"/>
  <c r="Q3" i="3"/>
  <c r="Q4" i="3"/>
  <c r="Q5" i="3"/>
  <c r="Q6" i="3"/>
  <c r="Q7" i="3"/>
  <c r="Q8" i="3"/>
  <c r="Q9" i="3"/>
  <c r="Q10" i="3"/>
  <c r="S2" i="3"/>
  <c r="S3" i="3"/>
  <c r="S4" i="3"/>
  <c r="S5" i="3"/>
  <c r="S6" i="3"/>
  <c r="S7" i="3"/>
  <c r="S8" i="3"/>
  <c r="S9" i="3"/>
  <c r="S10" i="3"/>
  <c r="T2" i="3"/>
  <c r="T3" i="3"/>
  <c r="T4" i="3"/>
  <c r="T5" i="3"/>
  <c r="T6" i="3"/>
  <c r="T7" i="3"/>
  <c r="T8" i="3"/>
  <c r="T9" i="3"/>
  <c r="T10" i="3"/>
  <c r="U2" i="3"/>
  <c r="U3" i="3"/>
  <c r="U4" i="3"/>
  <c r="U5" i="3"/>
  <c r="U6" i="3"/>
  <c r="U7" i="3"/>
  <c r="U8" i="3"/>
  <c r="U9" i="3"/>
  <c r="U10" i="3"/>
  <c r="V2" i="3"/>
  <c r="V3" i="3"/>
  <c r="V4" i="3"/>
  <c r="V5" i="3"/>
  <c r="V6" i="3"/>
  <c r="V7" i="3"/>
  <c r="V8" i="3"/>
  <c r="V9" i="3"/>
  <c r="V10" i="3"/>
  <c r="W2" i="3"/>
  <c r="W3" i="3"/>
  <c r="W4" i="3"/>
  <c r="W5" i="3"/>
  <c r="W6" i="3"/>
  <c r="W7" i="3"/>
  <c r="W8" i="3"/>
  <c r="W9" i="3"/>
  <c r="W10" i="3"/>
  <c r="X2" i="3"/>
  <c r="X3" i="3"/>
  <c r="X4" i="3"/>
  <c r="X5" i="3"/>
  <c r="X6" i="3"/>
  <c r="X7" i="3"/>
  <c r="X8" i="3"/>
  <c r="X9" i="3"/>
  <c r="X10" i="3"/>
  <c r="Y2" i="3"/>
  <c r="Y3" i="3"/>
  <c r="Y4" i="3"/>
  <c r="Y5" i="3"/>
  <c r="Y6" i="3"/>
  <c r="Y7" i="3"/>
  <c r="Y8" i="3"/>
  <c r="Y9" i="3"/>
  <c r="Y10" i="3"/>
  <c r="Z2" i="3"/>
  <c r="Z3" i="3"/>
  <c r="Z4" i="3"/>
  <c r="Z5" i="3"/>
  <c r="Z6" i="3"/>
  <c r="Z7" i="3"/>
  <c r="Z8" i="3"/>
  <c r="Z9" i="3"/>
  <c r="Z10" i="3"/>
  <c r="AA2" i="3"/>
  <c r="AA3" i="3"/>
  <c r="AA4" i="3"/>
  <c r="AA5" i="3"/>
  <c r="AA6" i="3"/>
  <c r="AA7" i="3"/>
  <c r="AA8" i="3"/>
  <c r="AA9" i="3"/>
  <c r="AA10" i="3"/>
  <c r="AB2" i="3"/>
  <c r="AB3" i="3"/>
  <c r="AB4" i="3"/>
  <c r="AB5" i="3"/>
  <c r="AB6" i="3"/>
  <c r="AB7" i="3"/>
  <c r="AB8" i="3"/>
  <c r="AB9" i="3"/>
  <c r="AB10" i="3"/>
  <c r="AC2" i="3"/>
  <c r="AC3" i="3"/>
  <c r="AC4" i="3"/>
  <c r="AC5" i="3"/>
  <c r="AC6" i="3"/>
  <c r="AC7" i="3"/>
  <c r="AC8" i="3"/>
  <c r="AC9" i="3"/>
  <c r="AC10" i="3"/>
  <c r="AD2" i="3"/>
  <c r="AD3" i="3"/>
  <c r="AD4" i="3"/>
  <c r="AD5" i="3"/>
  <c r="AD6" i="3"/>
  <c r="AD7" i="3"/>
  <c r="AD8" i="3"/>
  <c r="AD9" i="3"/>
  <c r="AD10" i="3"/>
  <c r="AE2" i="3"/>
  <c r="AE3" i="3"/>
  <c r="AE4" i="3"/>
  <c r="AE5" i="3"/>
  <c r="AE6" i="3"/>
  <c r="AE7" i="3"/>
  <c r="AE8" i="3"/>
  <c r="AE9" i="3"/>
  <c r="AE10" i="3"/>
  <c r="AF2" i="3"/>
  <c r="AF3" i="3"/>
  <c r="AF4" i="3"/>
  <c r="AF5" i="3"/>
  <c r="AF6" i="3"/>
  <c r="AF7" i="3"/>
  <c r="AF8" i="3"/>
  <c r="AF9" i="3"/>
  <c r="AF10" i="3"/>
  <c r="AG2" i="3"/>
  <c r="AG3" i="3"/>
  <c r="AG4" i="3"/>
  <c r="AG5" i="3"/>
  <c r="AG6" i="3"/>
  <c r="AG7" i="3"/>
  <c r="AG8" i="3"/>
  <c r="AG9" i="3"/>
  <c r="AG10" i="3"/>
  <c r="AH2" i="3"/>
  <c r="AH3" i="3"/>
  <c r="AH4" i="3"/>
  <c r="AH5" i="3"/>
  <c r="AH6" i="3"/>
  <c r="AH7" i="3"/>
  <c r="AH8" i="3"/>
  <c r="AH9" i="3"/>
  <c r="AH10" i="3"/>
  <c r="AI2" i="3"/>
  <c r="AI3" i="3"/>
  <c r="AI4" i="3"/>
  <c r="AI5" i="3"/>
  <c r="AI6" i="3"/>
  <c r="AI7" i="3"/>
  <c r="AI8" i="3"/>
  <c r="AI9" i="3"/>
  <c r="AI10" i="3"/>
  <c r="AJ2" i="3"/>
  <c r="AJ3" i="3"/>
  <c r="AJ4" i="3"/>
  <c r="AJ5" i="3"/>
  <c r="AJ6" i="3"/>
  <c r="AJ7" i="3"/>
  <c r="AJ8" i="3"/>
  <c r="AJ9" i="3"/>
  <c r="AJ10" i="3"/>
  <c r="AK2" i="3"/>
  <c r="AK3" i="3"/>
  <c r="AK4" i="3"/>
  <c r="AK5" i="3"/>
  <c r="AK6" i="3"/>
  <c r="AK7" i="3"/>
  <c r="AK8" i="3"/>
  <c r="AK9" i="3"/>
  <c r="AK10" i="3"/>
  <c r="AL2" i="3"/>
  <c r="AL3" i="3"/>
  <c r="AL4" i="3"/>
  <c r="AL5" i="3"/>
  <c r="AL6" i="3"/>
  <c r="AL7" i="3"/>
  <c r="AL8" i="3"/>
  <c r="AL9" i="3"/>
  <c r="AL10" i="3"/>
  <c r="AM2" i="3"/>
  <c r="AM3" i="3"/>
  <c r="AM4" i="3"/>
  <c r="AM5" i="3"/>
  <c r="AM6" i="3"/>
  <c r="AM7" i="3"/>
  <c r="AM8" i="3"/>
  <c r="AM9" i="3"/>
  <c r="AM10" i="3"/>
  <c r="AN2" i="3"/>
  <c r="AN3" i="3"/>
  <c r="AN4" i="3"/>
  <c r="AN5" i="3"/>
  <c r="AN6" i="3"/>
  <c r="AN7" i="3"/>
  <c r="AN8" i="3"/>
  <c r="AN9" i="3"/>
  <c r="AN10" i="3"/>
  <c r="AO2" i="3"/>
  <c r="AO3" i="3"/>
  <c r="AO4" i="3"/>
  <c r="AO5" i="3"/>
  <c r="AO6" i="3"/>
  <c r="AO7" i="3"/>
  <c r="AO8" i="3"/>
  <c r="AO9" i="3"/>
  <c r="AO10" i="3"/>
  <c r="AP2" i="3"/>
  <c r="AP3" i="3"/>
  <c r="AP4" i="3"/>
  <c r="AP5" i="3"/>
  <c r="AP6" i="3"/>
  <c r="AP7" i="3"/>
  <c r="AP8" i="3"/>
  <c r="AP9" i="3"/>
  <c r="AP10" i="3"/>
  <c r="AQ2" i="3"/>
  <c r="AQ3" i="3"/>
  <c r="AQ4" i="3"/>
  <c r="AQ5" i="3"/>
  <c r="AQ6" i="3"/>
  <c r="AQ7" i="3"/>
  <c r="AQ8" i="3"/>
  <c r="AQ9" i="3"/>
  <c r="AQ10" i="3"/>
  <c r="E2" i="3"/>
  <c r="E3" i="3"/>
  <c r="E4" i="3"/>
  <c r="E5" i="3"/>
  <c r="E6" i="3"/>
  <c r="E7" i="3"/>
  <c r="E8" i="3"/>
  <c r="E9" i="3"/>
  <c r="E10" i="3"/>
  <c r="R2" i="3"/>
  <c r="R3" i="3"/>
  <c r="R4" i="3"/>
  <c r="R5" i="3"/>
  <c r="R6" i="3"/>
  <c r="R7" i="3"/>
  <c r="R8" i="3"/>
  <c r="R9" i="3"/>
  <c r="R10" i="3"/>
  <c r="D3" i="3"/>
  <c r="D4" i="3"/>
  <c r="D5" i="3"/>
  <c r="D6" i="3"/>
  <c r="D7" i="3"/>
  <c r="D8" i="3"/>
  <c r="D9" i="3"/>
  <c r="C9" i="3"/>
  <c r="C8" i="3"/>
  <c r="C7" i="3"/>
  <c r="C6" i="3"/>
  <c r="C5" i="3"/>
  <c r="C4" i="3"/>
  <c r="C3" i="3"/>
  <c r="C2" i="3"/>
  <c r="D2" i="3"/>
  <c r="AN1" i="3"/>
  <c r="AO1" i="3"/>
  <c r="AP1" i="3"/>
  <c r="AQ1" i="3"/>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2" i="3"/>
  <c r="A3" i="3"/>
  <c r="A4" i="3"/>
  <c r="A5" i="3"/>
  <c r="A6" i="3"/>
  <c r="A7" i="3"/>
  <c r="A8" i="3"/>
  <c r="A9" i="3"/>
  <c r="A1" i="3"/>
  <c r="R3" i="1"/>
  <c r="P5" i="1"/>
  <c r="P7" i="1"/>
  <c r="P9" i="1"/>
  <c r="P6" i="1"/>
  <c r="P8" i="1"/>
  <c r="P4" i="1"/>
  <c r="Y12" i="1"/>
  <c r="Y11" i="1"/>
  <c r="P2" i="1"/>
  <c r="P3" i="1"/>
  <c r="AA10" i="1"/>
  <c r="T3" i="1"/>
  <c r="Z3" i="1"/>
</calcChain>
</file>

<file path=xl/sharedStrings.xml><?xml version="1.0" encoding="utf-8"?>
<sst xmlns="http://schemas.openxmlformats.org/spreadsheetml/2006/main" count="132" uniqueCount="101">
  <si>
    <t>World</t>
  </si>
  <si>
    <t>Brazil nuts, with shell</t>
  </si>
  <si>
    <t>Cashew nuts, with shell</t>
  </si>
  <si>
    <t>Chestnut</t>
  </si>
  <si>
    <t>Almonds, with shell</t>
  </si>
  <si>
    <t>Walnuts, with shell</t>
  </si>
  <si>
    <t>Pistachios</t>
  </si>
  <si>
    <t>Hazelnuts, with shell</t>
  </si>
  <si>
    <t>Nuts, nes</t>
  </si>
  <si>
    <t>Default composition: 216 Brazil nuts, with shell, 217 Cashew nuts, with shell, 220 Chestnuts, 221 Almonds, with shell, 222 Walnuts, with shell, 223 Pistachios, 224 Kolanuts, 225 Hazelnuts, with shell, 226 Arecanuts, 229 Brazil Nuts Shelled, 230 Cashew Nuts Shelled, 231 Almonds Shelled, 232 Walnuts Shelled, 233 Hazelnuts Shelled, 234 Nuts, nes, 235 Prepared Nuts (Exc.Groundnuts)</t>
  </si>
  <si>
    <t>Nuts</t>
  </si>
  <si>
    <t>Nuts, brazilnuts, dried, unblanched</t>
  </si>
  <si>
    <t>Nuts, cashew nuts, raw</t>
  </si>
  <si>
    <t>Nuts, chestnuts, european, raw, unpeeled</t>
  </si>
  <si>
    <t>Nuts, almonds</t>
  </si>
  <si>
    <t>Nuts, walnuts, english</t>
  </si>
  <si>
    <t>Nuts, pistachio nuts, raw</t>
  </si>
  <si>
    <t>Nuts, hazelnuts or filberts</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</si>
  <si>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</si>
  <si>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</si>
  <si>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</si>
  <si>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</si>
  <si>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</si>
  <si>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</si>
  <si>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</si>
  <si>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</si>
  <si>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</si>
  <si>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</si>
  <si>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</si>
  <si>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</si>
  <si>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</si>
  <si>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</si>
  <si>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</si>
  <si>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</si>
  <si>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</si>
  <si>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</si>
  <si>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</si>
  <si>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</si>
  <si>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</si>
  <si>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</si>
  <si>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</si>
  <si>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</si>
  <si>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</si>
  <si>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</si>
  <si>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</si>
  <si>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</si>
  <si>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</si>
  <si>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</si>
  <si>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Other_crops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</si>
  <si>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</si>
  <si>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</si>
  <si>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</si>
  <si>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</si>
  <si>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</si>
  <si>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</si>
  <si>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</si>
  <si>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</si>
  <si>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</si>
  <si>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</si>
  <si>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</si>
  <si>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</si>
  <si>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</si>
  <si>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</si>
  <si>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</si>
  <si>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</si>
  <si>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</si>
  <si>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</si>
  <si>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</si>
  <si>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</si>
  <si>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</si>
  <si>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</si>
  <si>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</si>
  <si>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</si>
  <si>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</si>
  <si>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</si>
  <si>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</si>
  <si>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</si>
  <si>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</si>
  <si>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</si>
  <si>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</si>
  <si>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</si>
  <si>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</si>
  <si>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</si>
  <si>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</si>
  <si>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</si>
  <si>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</si>
  <si>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</si>
  <si>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</si>
  <si>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</si>
  <si>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</si>
  <si>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</si>
  <si>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 60% Refuse Description: Shells </t>
  </si>
  <si>
    <t xml:space="preserve">49% Refuse Description: Shells </t>
  </si>
  <si>
    <t>refuse = 75% shell, from FAO documention</t>
  </si>
  <si>
    <t xml:space="preserve">26% Refuse Description: Shells </t>
  </si>
  <si>
    <t xml:space="preserve">59% Refuse Description: Shells </t>
  </si>
  <si>
    <t xml:space="preserve">47% Refuse Description: Shells </t>
  </si>
  <si>
    <t xml:space="preserve">55% Refuse Description: Shells </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</si>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</sst>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7">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18" fillId="0" borderId="0" xfId="0" applyNumberFormat="1" applyFont="1" applyAlignment="1">
      <alignment horizontal="center" wrapText="1"/>
    </xf>
    <xf numFmtId="0" fontId="20" fillId="0" borderId="0" xfId="0" applyFont="1"/>
    <xf numFmtId="3" fontId="18" fillId="34" borderId="0" xfId="0" applyNumberFormat="1" applyFont="1" applyFill="1" applyAlignment="1">
      <alignment horizontal="center" wrapText="1"/>
    </xf>
    <xf numFmtId="3" fontId="18" fillId="0" borderId="0" xfId="0" applyNumberFormat="1" applyFont="1" applyAlignment="1">
      <alignment wrapText="1"/>
    </xf>
    <xf numFmtId="3" fontId="0" fillId="0" borderId="0" xfId="0" applyNumberFormat="1"/>
    <xf numFmtId="3" fontId="18" fillId="34" borderId="0" xfId="0" applyNumberFormat="1" applyFont="1" applyFill="1" applyAlignment="1">
      <alignment horizontal="right" wrapText="1"/>
    </xf>
    <xf numFmtId="3" fontId="18" fillId="0" borderId="0" xfId="0" applyNumberFormat="1" applyFont="1" applyAlignment="1">
      <alignment horizontal="right" wrapText="1"/>
    </xf>
    <xf numFmtId="3" fontId="18" fillId="34" borderId="0" xfId="0" applyNumberFormat="1" applyFont="1" applyFill="1" applyAlignment="1">
      <alignment wrapText="1"/>
    </xf>
    <xf numFmtId="3" fontId="0" fillId="0" borderId="0" xfId="0" applyNumberFormat="1" applyAlignment="1">
      <alignment horizontal="center"/>
    </xf>
    <xf numFmtId="10" fontId="0" fillId="0" borderId="0" xfId="42" applyNumberFormat="1" applyFont="1" applyAlignment="1">
      <alignment horizontal="center" wrapText="1"/>
    </xf>
    <xf numFmtId="3" fontId="0" fillId="36" borderId="0" xfId="0" applyNumberFormat="1" applyFill="1" applyAlignment="1">
      <alignment horizontal="center" wrapText="1"/>
    </xf>
    <xf numFmtId="3" fontId="21" fillId="37" borderId="0" xfId="42" applyNumberFormat="1" applyFont="1" applyFill="1" applyBorder="1" applyAlignment="1">
      <alignment horizontal="center" wrapText="1"/>
    </xf>
    <xf numFmtId="164" fontId="21" fillId="37" borderId="0" xfId="42" applyNumberFormat="1" applyFont="1" applyFill="1" applyBorder="1" applyAlignment="1">
      <alignment horizontal="center" wrapText="1"/>
    </xf>
    <xf numFmtId="9" fontId="21" fillId="38" borderId="0" xfId="42" applyNumberFormat="1" applyFont="1" applyFill="1" applyBorder="1" applyAlignment="1">
      <alignment horizontal="center" wrapText="1"/>
    </xf>
    <xf numFmtId="9" fontId="0" fillId="35" borderId="0" xfId="42" applyNumberFormat="1" applyFont="1" applyFill="1" applyAlignment="1">
      <alignment horizontal="center"/>
    </xf>
    <xf numFmtId="164" fontId="21" fillId="39" borderId="0" xfId="42" applyNumberFormat="1" applyFont="1" applyFill="1" applyBorder="1" applyAlignment="1">
      <alignment horizontal="center" wrapText="1"/>
    </xf>
    <xf numFmtId="3" fontId="0" fillId="40" borderId="0" xfId="0" applyNumberFormat="1" applyFill="1" applyAlignment="1">
      <alignment horizontal="center" wrapText="1"/>
    </xf>
    <xf numFmtId="0" fontId="18" fillId="0" borderId="11" xfId="0" applyFont="1" applyBorder="1" applyAlignment="1">
      <alignment horizontal="center" wrapText="1"/>
    </xf>
    <xf numFmtId="0" fontId="0" fillId="0" borderId="11" xfId="0" applyBorder="1" applyAlignment="1">
      <alignment horizontal="center"/>
    </xf>
    <xf numFmtId="0" fontId="20" fillId="0" borderId="11" xfId="0" applyFont="1" applyBorder="1"/>
    <xf numFmtId="3" fontId="18" fillId="0" borderId="11" xfId="0" applyNumberFormat="1" applyFont="1" applyBorder="1" applyAlignment="1">
      <alignment horizontal="center" wrapText="1"/>
    </xf>
    <xf numFmtId="3" fontId="18" fillId="0" borderId="11" xfId="0" applyNumberFormat="1" applyFont="1" applyBorder="1" applyAlignment="1">
      <alignment wrapText="1"/>
    </xf>
    <xf numFmtId="3" fontId="0" fillId="0" borderId="11" xfId="0" applyNumberFormat="1" applyBorder="1" applyAlignment="1">
      <alignment horizontal="center"/>
    </xf>
    <xf numFmtId="3" fontId="0" fillId="0" borderId="11" xfId="0" applyNumberFormat="1" applyBorder="1"/>
    <xf numFmtId="0" fontId="0" fillId="0" borderId="11" xfId="0" applyBorder="1"/>
    <xf numFmtId="164" fontId="21" fillId="37" borderId="11" xfId="42" applyNumberFormat="1" applyFont="1" applyFill="1" applyBorder="1" applyAlignment="1">
      <alignment horizontal="center" wrapText="1"/>
    </xf>
    <xf numFmtId="3" fontId="0" fillId="36" borderId="11" xfId="0" applyNumberFormat="1" applyFill="1" applyBorder="1" applyAlignment="1">
      <alignment horizontal="center" wrapText="1"/>
    </xf>
    <xf numFmtId="3" fontId="21" fillId="37" borderId="11" xfId="42" applyNumberFormat="1" applyFont="1" applyFill="1" applyBorder="1" applyAlignment="1">
      <alignment horizontal="center" wrapText="1"/>
    </xf>
    <xf numFmtId="49" fontId="16" fillId="40" borderId="10" xfId="0" applyNumberFormat="1" applyFont="1" applyFill="1" applyBorder="1" applyAlignment="1">
      <alignment horizontal="center" vertical="center" wrapText="1"/>
    </xf>
    <xf numFmtId="0" fontId="18" fillId="34" borderId="11" xfId="0" applyFont="1" applyFill="1" applyBorder="1" applyAlignment="1">
      <alignment horizontal="center" wrapText="1"/>
    </xf>
    <xf numFmtId="0" fontId="0" fillId="0" borderId="0" xfId="0" applyFont="1" applyAlignment="1">
      <alignment horizontal="center"/>
    </xf>
    <xf numFmtId="49" fontId="22" fillId="0" borderId="0" xfId="0" applyNumberFormat="1" applyFont="1" applyAlignment="1">
      <alignment horizontal="center"/>
    </xf>
    <xf numFmtId="49" fontId="0" fillId="0" borderId="11" xfId="0" applyNumberFormat="1" applyFont="1" applyBorder="1" applyAlignment="1">
      <alignment horizontal="center" wrapText="1"/>
    </xf>
    <xf numFmtId="0" fontId="0" fillId="0" borderId="0" xfId="0" applyAlignment="1">
      <alignment horizontal="left"/>
    </xf>
    <xf numFmtId="0" fontId="18" fillId="0" borderId="0" xfId="0" applyFont="1" applyAlignment="1"/>
    <xf numFmtId="0" fontId="18" fillId="0" borderId="11" xfId="0" applyFont="1" applyBorder="1" applyAlignment="1"/>
    <xf numFmtId="3" fontId="16" fillId="40" borderId="10" xfId="0" applyNumberFormat="1" applyFont="1" applyFill="1" applyBorder="1" applyAlignment="1">
      <alignment horizontal="center" vertical="center" wrapText="1"/>
    </xf>
    <xf numFmtId="0" fontId="18" fillId="0" borderId="0" xfId="0" applyFont="1" applyAlignment="1">
      <alignment horizontal="center"/>
    </xf>
    <xf numFmtId="0" fontId="18" fillId="0" borderId="11" xfId="0" applyFont="1" applyBorder="1" applyAlignment="1">
      <alignment horizontal="center"/>
    </xf>
    <xf numFmtId="0" fontId="18" fillId="0" borderId="0" xfId="0"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2" fontId="0" fillId="0" borderId="0" xfId="0" applyNumberFormat="1"/>
    <xf numFmtId="2" fontId="0" fillId="41" borderId="0" xfId="0" applyNumberFormat="1" applyFill="1"/>
    <xf numFmtId="0" fontId="0" fillId="41" borderId="0" xfId="0" applyFill="1"/>
    <xf numFmtId="0" fontId="23" fillId="34" borderId="0" xfId="0" applyFont="1" applyFill="1" applyAlignment="1">
      <alignment horizontal="left"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Border="1" applyAlignment="1">
      <alignment horizontal="center"/>
    </xf>
    <xf numFmtId="2" fontId="0" fillId="0" borderId="11" xfId="42" applyNumberFormat="1" applyFont="1" applyBorder="1" applyAlignment="1">
      <alignment horizontal="center"/>
    </xf>
    <xf numFmtId="2" fontId="0" fillId="0" borderId="0" xfId="42"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abSelected="1" topLeftCell="Y1" zoomScale="110" zoomScaleNormal="110" zoomScalePageLayoutView="110" workbookViewId="0">
      <selection activeCell="AA1" sqref="AA1:AA1048576"/>
    </sheetView>
  </sheetViews>
  <sheetFormatPr baseColWidth="10" defaultColWidth="8.83203125" defaultRowHeight="15" x14ac:dyDescent="0.2"/>
  <cols>
    <col min="1" max="1" width="13.1640625" customWidth="1"/>
    <col min="2" max="2" width="11" style="2" customWidth="1"/>
    <col min="3" max="3" width="8.6640625" style="2" customWidth="1"/>
    <col min="4" max="4" width="19.6640625" style="2" bestFit="1" customWidth="1"/>
    <col min="5" max="5" width="19.6640625" style="35" customWidth="1"/>
    <col min="6" max="7" width="19.6640625" style="38" customWidth="1"/>
    <col min="8" max="8" width="11.83203125" style="2" customWidth="1"/>
    <col min="9" max="10" width="8.6640625" customWidth="1"/>
    <col min="11" max="11" width="17.33203125" customWidth="1"/>
    <col min="12" max="12" width="12.83203125" style="2" customWidth="1"/>
    <col min="13" max="16" width="12.83203125" customWidth="1"/>
    <col min="17" max="17" width="11.33203125" customWidth="1"/>
    <col min="18" max="19" width="13" customWidth="1"/>
    <col min="20" max="22" width="12.83203125" customWidth="1"/>
    <col min="23" max="24" width="17.33203125" customWidth="1"/>
    <col min="25" max="25" width="14.33203125" customWidth="1"/>
    <col min="26" max="26" width="19.1640625" customWidth="1"/>
    <col min="27" max="27" width="14.33203125" style="48" customWidth="1"/>
  </cols>
  <sheetData>
    <row r="1" spans="1:27" ht="61.5" customHeight="1" x14ac:dyDescent="0.25">
      <c r="A1" s="51" t="s">
        <v>48</v>
      </c>
      <c r="B1" s="45" t="s">
        <v>23</v>
      </c>
      <c r="C1" s="45" t="s">
        <v>24</v>
      </c>
      <c r="D1" s="45" t="s">
        <v>25</v>
      </c>
      <c r="E1" s="33" t="s">
        <v>26</v>
      </c>
      <c r="F1" s="41" t="s">
        <v>27</v>
      </c>
      <c r="G1" s="41" t="s">
        <v>28</v>
      </c>
      <c r="H1" s="45" t="s">
        <v>29</v>
      </c>
      <c r="I1" s="45" t="s">
        <v>30</v>
      </c>
      <c r="J1" s="45" t="s">
        <v>31</v>
      </c>
      <c r="K1" s="45" t="s">
        <v>32</v>
      </c>
      <c r="L1" s="46" t="s">
        <v>33</v>
      </c>
      <c r="M1" s="46" t="s">
        <v>34</v>
      </c>
      <c r="N1" s="46" t="s">
        <v>35</v>
      </c>
      <c r="O1" s="46" t="s">
        <v>36</v>
      </c>
      <c r="P1" s="47" t="s">
        <v>37</v>
      </c>
      <c r="Q1" s="47" t="s">
        <v>38</v>
      </c>
      <c r="R1" s="47" t="s">
        <v>39</v>
      </c>
      <c r="S1" s="47" t="s">
        <v>40</v>
      </c>
      <c r="T1" s="47" t="s">
        <v>41</v>
      </c>
      <c r="U1" s="3" t="s">
        <v>42</v>
      </c>
      <c r="V1" s="3" t="s">
        <v>43</v>
      </c>
      <c r="W1" s="3" t="s">
        <v>44</v>
      </c>
      <c r="X1" s="3" t="s">
        <v>45</v>
      </c>
      <c r="Y1" s="4" t="s">
        <v>46</v>
      </c>
      <c r="Z1" s="3" t="s">
        <v>47</v>
      </c>
      <c r="AA1" s="53" t="s">
        <v>100</v>
      </c>
    </row>
    <row r="2" spans="1:27" ht="15" customHeight="1" x14ac:dyDescent="0.2">
      <c r="A2" s="52" t="s">
        <v>21</v>
      </c>
      <c r="B2" s="1" t="s">
        <v>0</v>
      </c>
      <c r="C2" s="1">
        <v>2011</v>
      </c>
      <c r="D2" s="1" t="s">
        <v>1</v>
      </c>
      <c r="E2" s="36">
        <v>12078</v>
      </c>
      <c r="F2" s="39" t="s">
        <v>11</v>
      </c>
      <c r="G2" s="42">
        <v>1</v>
      </c>
      <c r="H2" s="1">
        <v>216</v>
      </c>
      <c r="I2" s="2" t="s">
        <v>10</v>
      </c>
      <c r="J2" s="2">
        <v>2551</v>
      </c>
      <c r="K2" s="6" t="s">
        <v>9</v>
      </c>
      <c r="L2" s="5">
        <v>110342</v>
      </c>
      <c r="M2" s="10">
        <v>29903</v>
      </c>
      <c r="N2" s="13">
        <f>SUM(L2,M2)</f>
        <v>140245</v>
      </c>
      <c r="O2" s="7">
        <v>32377</v>
      </c>
      <c r="P2" s="9">
        <f>N2-SUM(O2)</f>
        <v>107868</v>
      </c>
      <c r="U2" s="17">
        <v>1.0081819816579751</v>
      </c>
      <c r="V2" s="15">
        <f t="shared" ref="V2" si="0">((U2-1)*N2)</f>
        <v>1147.4820176227213</v>
      </c>
      <c r="W2" s="15">
        <f t="shared" ref="W2" si="1">SUM(L2:M2,V2)-O2</f>
        <v>109015.48201762271</v>
      </c>
      <c r="X2" s="17">
        <v>0.99151148252944665</v>
      </c>
      <c r="Y2" s="16">
        <f t="shared" ref="Y2" si="2">W2*X2</f>
        <v>108090.10219395532</v>
      </c>
      <c r="AA2" s="54">
        <f>IF($G2=1,Y2/$Y$10,0)</f>
        <v>7.6151143141571847E-3</v>
      </c>
    </row>
    <row r="3" spans="1:27" ht="15" customHeight="1" x14ac:dyDescent="0.2">
      <c r="A3" s="52" t="s">
        <v>22</v>
      </c>
      <c r="B3" s="1" t="s">
        <v>0</v>
      </c>
      <c r="C3" s="1">
        <v>2011</v>
      </c>
      <c r="D3" s="1" t="s">
        <v>2</v>
      </c>
      <c r="E3" s="36">
        <v>12087</v>
      </c>
      <c r="F3" s="39" t="s">
        <v>12</v>
      </c>
      <c r="G3" s="42">
        <v>1</v>
      </c>
      <c r="H3" s="1">
        <v>217</v>
      </c>
      <c r="I3" s="2" t="s">
        <v>10</v>
      </c>
      <c r="J3" s="2">
        <v>2551</v>
      </c>
      <c r="K3" s="6" t="s">
        <v>9</v>
      </c>
      <c r="L3" s="5">
        <v>4401030</v>
      </c>
      <c r="M3" s="11">
        <v>864756</v>
      </c>
      <c r="N3" s="13">
        <f t="shared" ref="N3:N9" si="3">SUM(L3,M3)</f>
        <v>5265786</v>
      </c>
      <c r="O3" s="8">
        <v>998383</v>
      </c>
      <c r="P3" s="9">
        <f t="shared" ref="P3:P9" si="4">N3-SUM(O3)</f>
        <v>4267403</v>
      </c>
      <c r="Q3" s="9">
        <v>15323000</v>
      </c>
      <c r="R3" s="14">
        <f>L3/Q3</f>
        <v>0.28721725510670232</v>
      </c>
      <c r="S3" s="9">
        <v>15068000</v>
      </c>
      <c r="T3" s="19">
        <f>SUM(P3,P2,P4:P9)/S3</f>
        <v>1.0013938147066632</v>
      </c>
      <c r="U3" s="17">
        <v>1.0081819816579751</v>
      </c>
      <c r="V3" s="15">
        <f>((U3-1)*N3)</f>
        <v>43084.564466822194</v>
      </c>
      <c r="W3" s="15">
        <f>SUM(L3:M3,V3)-O3</f>
        <v>4310487.564466822</v>
      </c>
      <c r="X3" s="17">
        <v>0.99151148252944665</v>
      </c>
      <c r="Y3" s="16">
        <f>W3*X3</f>
        <v>4273897.9154692423</v>
      </c>
      <c r="Z3" s="18">
        <f>SUM(Y2:Y9)/S3</f>
        <v>1.0025668724639323</v>
      </c>
      <c r="AA3" s="54">
        <f t="shared" ref="AA3:AA9" si="5">IF($G3=1,Y3/$Y$10,0)</f>
        <v>0.30110269610936169</v>
      </c>
    </row>
    <row r="4" spans="1:27" ht="15" customHeight="1" x14ac:dyDescent="0.2">
      <c r="B4" s="1" t="s">
        <v>0</v>
      </c>
      <c r="C4" s="1">
        <v>2011</v>
      </c>
      <c r="D4" s="1" t="s">
        <v>3</v>
      </c>
      <c r="E4" s="36">
        <v>12097</v>
      </c>
      <c r="F4" s="39" t="s">
        <v>13</v>
      </c>
      <c r="G4" s="42">
        <v>1</v>
      </c>
      <c r="H4" s="1">
        <v>220</v>
      </c>
      <c r="I4" s="2" t="s">
        <v>10</v>
      </c>
      <c r="J4" s="2">
        <v>2551</v>
      </c>
      <c r="K4" s="6" t="s">
        <v>9</v>
      </c>
      <c r="L4" s="5">
        <v>1935232</v>
      </c>
      <c r="M4" s="8">
        <v>97130</v>
      </c>
      <c r="N4" s="13">
        <f t="shared" si="3"/>
        <v>2032362</v>
      </c>
      <c r="O4" s="8">
        <v>96738</v>
      </c>
      <c r="P4" s="9">
        <f t="shared" si="4"/>
        <v>1935624</v>
      </c>
      <c r="U4" s="17">
        <v>1.0081819816579751</v>
      </c>
      <c r="V4" s="15">
        <f t="shared" ref="V4:V9" si="6">((U4-1)*N4)</f>
        <v>16628.74860636564</v>
      </c>
      <c r="W4" s="15">
        <f t="shared" ref="W4:W9" si="7">SUM(L4:M4,V4)-O4</f>
        <v>1952252.7486063656</v>
      </c>
      <c r="X4" s="17">
        <v>0.99151148252944665</v>
      </c>
      <c r="Y4" s="16">
        <f t="shared" ref="Y4:Y9" si="8">W4*X4</f>
        <v>1935681.0170428846</v>
      </c>
      <c r="AA4" s="54">
        <f t="shared" si="5"/>
        <v>0.13637171139014734</v>
      </c>
    </row>
    <row r="5" spans="1:27" ht="15" customHeight="1" x14ac:dyDescent="0.2">
      <c r="B5" s="1" t="s">
        <v>0</v>
      </c>
      <c r="C5" s="1">
        <v>2011</v>
      </c>
      <c r="D5" s="1" t="s">
        <v>4</v>
      </c>
      <c r="E5" s="36">
        <v>12061</v>
      </c>
      <c r="F5" s="39" t="s">
        <v>14</v>
      </c>
      <c r="G5" s="42">
        <v>1</v>
      </c>
      <c r="H5" s="1">
        <v>221</v>
      </c>
      <c r="I5" s="2" t="s">
        <v>10</v>
      </c>
      <c r="J5" s="2">
        <v>2551</v>
      </c>
      <c r="K5" s="6" t="s">
        <v>9</v>
      </c>
      <c r="L5" s="5">
        <v>3013215</v>
      </c>
      <c r="M5" s="12">
        <v>575939</v>
      </c>
      <c r="N5" s="13">
        <f t="shared" si="3"/>
        <v>3589154</v>
      </c>
      <c r="O5" s="12">
        <v>627818</v>
      </c>
      <c r="P5" s="9">
        <f t="shared" si="4"/>
        <v>2961336</v>
      </c>
      <c r="U5" s="17">
        <v>1.0081819816579751</v>
      </c>
      <c r="V5" s="15">
        <f t="shared" si="6"/>
        <v>29366.392195648048</v>
      </c>
      <c r="W5" s="15">
        <f t="shared" si="7"/>
        <v>2990702.392195648</v>
      </c>
      <c r="X5" s="17">
        <v>0.99151148252944665</v>
      </c>
      <c r="Y5" s="16">
        <f t="shared" si="8"/>
        <v>2965315.7626902694</v>
      </c>
      <c r="AA5" s="54">
        <f t="shared" si="5"/>
        <v>0.20891106634295883</v>
      </c>
    </row>
    <row r="6" spans="1:27" ht="15" customHeight="1" x14ac:dyDescent="0.2">
      <c r="B6" s="1" t="s">
        <v>0</v>
      </c>
      <c r="C6" s="1">
        <v>2011</v>
      </c>
      <c r="D6" s="1" t="s">
        <v>5</v>
      </c>
      <c r="E6" s="36">
        <v>12155</v>
      </c>
      <c r="F6" s="39" t="s">
        <v>15</v>
      </c>
      <c r="G6" s="42">
        <v>1</v>
      </c>
      <c r="H6" s="1">
        <v>222</v>
      </c>
      <c r="I6" s="2" t="s">
        <v>10</v>
      </c>
      <c r="J6" s="2">
        <v>2551</v>
      </c>
      <c r="K6" s="6" t="s">
        <v>9</v>
      </c>
      <c r="L6" s="5">
        <v>3307729</v>
      </c>
      <c r="M6" s="8">
        <v>212980</v>
      </c>
      <c r="N6" s="13">
        <f t="shared" si="3"/>
        <v>3520709</v>
      </c>
      <c r="O6" s="8">
        <v>244830</v>
      </c>
      <c r="P6" s="9">
        <f t="shared" si="4"/>
        <v>3275879</v>
      </c>
      <c r="U6" s="17">
        <v>1.0081819816579751</v>
      </c>
      <c r="V6" s="15">
        <f t="shared" si="6"/>
        <v>28806.376461067939</v>
      </c>
      <c r="W6" s="15">
        <f t="shared" si="7"/>
        <v>3304685.3764610682</v>
      </c>
      <c r="X6" s="17">
        <v>0.99151148252944665</v>
      </c>
      <c r="Y6" s="16">
        <f t="shared" si="8"/>
        <v>3276633.4969082964</v>
      </c>
      <c r="AA6" s="54">
        <f t="shared" si="5"/>
        <v>0.2308438805967625</v>
      </c>
    </row>
    <row r="7" spans="1:27" ht="15" customHeight="1" x14ac:dyDescent="0.2">
      <c r="B7" s="1" t="s">
        <v>0</v>
      </c>
      <c r="C7" s="1">
        <v>2011</v>
      </c>
      <c r="D7" s="1" t="s">
        <v>6</v>
      </c>
      <c r="E7" s="36">
        <v>12151</v>
      </c>
      <c r="F7" s="39" t="s">
        <v>16</v>
      </c>
      <c r="G7" s="42">
        <v>1</v>
      </c>
      <c r="H7" s="1">
        <v>223</v>
      </c>
      <c r="I7" s="2" t="s">
        <v>10</v>
      </c>
      <c r="J7" s="2">
        <v>2551</v>
      </c>
      <c r="K7" s="6" t="s">
        <v>9</v>
      </c>
      <c r="L7" s="5">
        <v>937517</v>
      </c>
      <c r="M7" s="8">
        <v>308477</v>
      </c>
      <c r="N7" s="13">
        <f t="shared" si="3"/>
        <v>1245994</v>
      </c>
      <c r="O7" s="8">
        <v>361354</v>
      </c>
      <c r="P7" s="9">
        <f t="shared" si="4"/>
        <v>884640</v>
      </c>
      <c r="U7" s="17">
        <v>1.0081819816579751</v>
      </c>
      <c r="V7" s="15">
        <f t="shared" si="6"/>
        <v>10194.700053947055</v>
      </c>
      <c r="W7" s="15">
        <f t="shared" si="7"/>
        <v>894834.70005394705</v>
      </c>
      <c r="X7" s="17">
        <v>0.99151148252944665</v>
      </c>
      <c r="Y7" s="16">
        <f t="shared" si="8"/>
        <v>887238.88006928179</v>
      </c>
      <c r="AA7" s="54">
        <f t="shared" si="5"/>
        <v>6.2507346727906171E-2</v>
      </c>
    </row>
    <row r="8" spans="1:27" ht="15" customHeight="1" x14ac:dyDescent="0.2">
      <c r="B8" s="1" t="s">
        <v>0</v>
      </c>
      <c r="C8" s="1">
        <v>2011</v>
      </c>
      <c r="D8" s="1" t="s">
        <v>7</v>
      </c>
      <c r="E8" s="36">
        <v>12120</v>
      </c>
      <c r="F8" s="39" t="s">
        <v>17</v>
      </c>
      <c r="G8" s="44">
        <v>1</v>
      </c>
      <c r="H8" s="1">
        <v>225</v>
      </c>
      <c r="I8" s="2" t="s">
        <v>10</v>
      </c>
      <c r="J8" s="2">
        <v>2551</v>
      </c>
      <c r="K8" s="6" t="s">
        <v>9</v>
      </c>
      <c r="L8" s="5">
        <v>742146</v>
      </c>
      <c r="M8" s="12">
        <v>213266</v>
      </c>
      <c r="N8" s="13">
        <f t="shared" si="3"/>
        <v>955412</v>
      </c>
      <c r="O8" s="12">
        <v>209535</v>
      </c>
      <c r="P8" s="9">
        <f t="shared" si="4"/>
        <v>745877</v>
      </c>
      <c r="U8" s="17">
        <v>1.0081819816579751</v>
      </c>
      <c r="V8" s="15">
        <f t="shared" si="6"/>
        <v>7817.1634598093287</v>
      </c>
      <c r="W8" s="15">
        <f t="shared" si="7"/>
        <v>753694.16345980938</v>
      </c>
      <c r="X8" s="17">
        <v>0.99151148252944665</v>
      </c>
      <c r="Y8" s="16">
        <f t="shared" si="8"/>
        <v>747296.4173858267</v>
      </c>
      <c r="AA8" s="54">
        <f t="shared" si="5"/>
        <v>5.2648184518706398E-2</v>
      </c>
    </row>
    <row r="9" spans="1:27" ht="15" customHeight="1" x14ac:dyDescent="0.2">
      <c r="B9" s="22" t="s">
        <v>0</v>
      </c>
      <c r="C9" s="22">
        <v>2011</v>
      </c>
      <c r="D9" s="34" t="s">
        <v>8</v>
      </c>
      <c r="E9" s="37"/>
      <c r="F9" s="40"/>
      <c r="G9" s="43">
        <v>0</v>
      </c>
      <c r="H9" s="22">
        <v>234</v>
      </c>
      <c r="I9" s="23" t="s">
        <v>10</v>
      </c>
      <c r="J9" s="23">
        <v>2551</v>
      </c>
      <c r="K9" s="24" t="s">
        <v>9</v>
      </c>
      <c r="L9" s="25">
        <v>786566</v>
      </c>
      <c r="M9" s="26">
        <v>430906</v>
      </c>
      <c r="N9" s="27">
        <f t="shared" si="3"/>
        <v>1217472</v>
      </c>
      <c r="O9" s="26">
        <v>307097</v>
      </c>
      <c r="P9" s="28">
        <f t="shared" si="4"/>
        <v>910375</v>
      </c>
      <c r="Q9" s="29"/>
      <c r="R9" s="29"/>
      <c r="S9" s="29"/>
      <c r="T9" s="29"/>
      <c r="U9" s="30">
        <v>1.0081819816579751</v>
      </c>
      <c r="V9" s="31">
        <f t="shared" si="6"/>
        <v>9961.333573098289</v>
      </c>
      <c r="W9" s="31">
        <f t="shared" si="7"/>
        <v>920336.33357309829</v>
      </c>
      <c r="X9" s="30">
        <v>0.99151148252944665</v>
      </c>
      <c r="Y9" s="32">
        <f t="shared" si="8"/>
        <v>912524.04252677807</v>
      </c>
      <c r="Z9" s="29"/>
      <c r="AA9" s="55">
        <f t="shared" si="5"/>
        <v>0</v>
      </c>
    </row>
    <row r="10" spans="1:27" x14ac:dyDescent="0.2">
      <c r="U10" s="20"/>
      <c r="V10" s="21"/>
      <c r="W10" s="21"/>
      <c r="X10" s="13" t="s">
        <v>18</v>
      </c>
      <c r="Y10" s="13">
        <f t="array" ref="Y10">SUM(IF($G$2:$G$9=1,Y2:Y9))</f>
        <v>14194153.591759754</v>
      </c>
      <c r="AA10" s="56">
        <f>SUM(AA2:AA9)</f>
        <v>1.0000000000000002</v>
      </c>
    </row>
    <row r="11" spans="1:27" x14ac:dyDescent="0.2">
      <c r="X11" s="13" t="s">
        <v>19</v>
      </c>
      <c r="Y11" s="13">
        <f>Y12-Y10</f>
        <v>912524.04252677783</v>
      </c>
      <c r="Z11" s="13"/>
    </row>
    <row r="12" spans="1:27" x14ac:dyDescent="0.2">
      <c r="X12" s="13" t="s">
        <v>20</v>
      </c>
      <c r="Y12" s="13">
        <f>SUM(Y2:Y9)</f>
        <v>15106677.634286532</v>
      </c>
      <c r="Z12" s="13"/>
    </row>
    <row r="13" spans="1:27" x14ac:dyDescent="0.2">
      <c r="B13" s="3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
  <sheetViews>
    <sheetView workbookViewId="0">
      <selection sqref="A1:B1048576"/>
    </sheetView>
  </sheetViews>
  <sheetFormatPr baseColWidth="10" defaultColWidth="8.83203125" defaultRowHeight="15" x14ac:dyDescent="0.2"/>
  <cols>
    <col min="1" max="1" width="19.6640625" style="2" bestFit="1" customWidth="1"/>
    <col min="2" max="2" width="19.6640625" style="35" customWidth="1"/>
  </cols>
  <sheetData>
    <row r="1" spans="1:45" x14ac:dyDescent="0.2">
      <c r="A1" s="45" t="s">
        <v>25</v>
      </c>
      <c r="B1" s="33" t="s">
        <v>26</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99</v>
      </c>
      <c r="AI1" t="s">
        <v>80</v>
      </c>
      <c r="AJ1" t="s">
        <v>81</v>
      </c>
      <c r="AK1" t="s">
        <v>82</v>
      </c>
      <c r="AL1" t="s">
        <v>83</v>
      </c>
      <c r="AM1" t="s">
        <v>84</v>
      </c>
      <c r="AN1" t="s">
        <v>85</v>
      </c>
      <c r="AO1" t="s">
        <v>86</v>
      </c>
      <c r="AP1" t="s">
        <v>87</v>
      </c>
      <c r="AQ1" t="s">
        <v>88</v>
      </c>
      <c r="AR1" t="s">
        <v>89</v>
      </c>
      <c r="AS1" t="s">
        <v>90</v>
      </c>
    </row>
    <row r="2" spans="1:45" x14ac:dyDescent="0.2">
      <c r="A2" s="1" t="s">
        <v>1</v>
      </c>
      <c r="B2" s="36">
        <v>12078</v>
      </c>
      <c r="C2">
        <v>51</v>
      </c>
      <c r="D2" t="s">
        <v>92</v>
      </c>
      <c r="F2">
        <v>3.42</v>
      </c>
      <c r="G2">
        <v>659</v>
      </c>
      <c r="H2">
        <v>14.32</v>
      </c>
      <c r="I2">
        <v>67.099999999999994</v>
      </c>
      <c r="J2">
        <v>11.74</v>
      </c>
      <c r="K2">
        <v>7.5</v>
      </c>
      <c r="L2">
        <v>2.33</v>
      </c>
      <c r="N2">
        <v>160</v>
      </c>
      <c r="O2">
        <v>2.4300000000000002</v>
      </c>
      <c r="P2">
        <v>376</v>
      </c>
      <c r="Q2">
        <v>725</v>
      </c>
      <c r="R2">
        <v>659</v>
      </c>
      <c r="S2">
        <f>R2/1000</f>
        <v>0.65900000000000003</v>
      </c>
      <c r="T2">
        <v>3</v>
      </c>
      <c r="U2">
        <v>3.0000000000000001E-3</v>
      </c>
      <c r="V2">
        <v>4.0599999999999996</v>
      </c>
      <c r="X2">
        <v>0.7</v>
      </c>
      <c r="Y2">
        <v>0.61699999999999999</v>
      </c>
      <c r="Z2">
        <v>3.5000000000000003E-2</v>
      </c>
      <c r="AA2">
        <v>0.29499999999999998</v>
      </c>
      <c r="AB2">
        <v>0.10100000000000001</v>
      </c>
      <c r="AC2">
        <v>22</v>
      </c>
      <c r="AD2">
        <v>0</v>
      </c>
      <c r="AE2">
        <v>0</v>
      </c>
      <c r="AF2">
        <v>0</v>
      </c>
      <c r="AG2">
        <v>5.65</v>
      </c>
      <c r="AH2">
        <v>0</v>
      </c>
      <c r="AI2">
        <v>0</v>
      </c>
      <c r="AJ2">
        <v>0</v>
      </c>
      <c r="AL2">
        <v>16.134</v>
      </c>
      <c r="AM2">
        <v>23.879000000000001</v>
      </c>
      <c r="AN2">
        <v>24.399000000000001</v>
      </c>
      <c r="AP2">
        <v>0</v>
      </c>
      <c r="AR2">
        <v>0</v>
      </c>
      <c r="AS2">
        <v>2203</v>
      </c>
    </row>
    <row r="3" spans="1:45" x14ac:dyDescent="0.2">
      <c r="A3" s="1" t="s">
        <v>2</v>
      </c>
      <c r="B3" s="36">
        <v>12087</v>
      </c>
      <c r="C3">
        <v>25</v>
      </c>
      <c r="D3" t="s">
        <v>93</v>
      </c>
      <c r="F3">
        <v>5.2</v>
      </c>
      <c r="G3">
        <v>553</v>
      </c>
      <c r="H3">
        <v>18.22</v>
      </c>
      <c r="I3">
        <v>43.85</v>
      </c>
      <c r="J3">
        <v>30.19</v>
      </c>
      <c r="K3">
        <v>3.3</v>
      </c>
      <c r="L3">
        <v>5.91</v>
      </c>
      <c r="N3">
        <v>37</v>
      </c>
      <c r="O3">
        <v>6.68</v>
      </c>
      <c r="P3">
        <v>292</v>
      </c>
      <c r="Q3">
        <v>593</v>
      </c>
      <c r="R3">
        <v>660</v>
      </c>
      <c r="S3">
        <f t="shared" ref="S3:S8" si="0">R3/1000</f>
        <v>0.66</v>
      </c>
      <c r="T3">
        <v>12</v>
      </c>
      <c r="U3">
        <v>1.2E-2</v>
      </c>
      <c r="V3">
        <v>5.78</v>
      </c>
      <c r="X3">
        <v>0.5</v>
      </c>
      <c r="Y3">
        <v>0.42299999999999999</v>
      </c>
      <c r="Z3">
        <v>5.8000000000000003E-2</v>
      </c>
      <c r="AA3">
        <v>1.0620000000000001</v>
      </c>
      <c r="AB3">
        <v>0.41699999999999998</v>
      </c>
      <c r="AC3">
        <v>25</v>
      </c>
      <c r="AD3">
        <v>0</v>
      </c>
      <c r="AE3">
        <v>0</v>
      </c>
      <c r="AF3">
        <v>0</v>
      </c>
      <c r="AG3">
        <v>0.9</v>
      </c>
      <c r="AH3">
        <v>0</v>
      </c>
      <c r="AI3">
        <v>0</v>
      </c>
      <c r="AJ3">
        <v>34.1</v>
      </c>
      <c r="AL3">
        <v>7.7830000000000004</v>
      </c>
      <c r="AM3">
        <v>23.797000000000001</v>
      </c>
      <c r="AN3">
        <v>7.8449999999999998</v>
      </c>
      <c r="AP3">
        <v>0</v>
      </c>
      <c r="AS3">
        <v>2203</v>
      </c>
    </row>
    <row r="4" spans="1:45" x14ac:dyDescent="0.2">
      <c r="A4" s="1" t="s">
        <v>3</v>
      </c>
      <c r="B4" s="36">
        <v>12097</v>
      </c>
      <c r="C4">
        <v>74</v>
      </c>
      <c r="D4" t="s">
        <v>94</v>
      </c>
      <c r="F4">
        <v>48.65</v>
      </c>
      <c r="G4">
        <v>213</v>
      </c>
      <c r="H4">
        <v>2.42</v>
      </c>
      <c r="I4">
        <v>2.2599999999999998</v>
      </c>
      <c r="J4">
        <v>45.54</v>
      </c>
      <c r="K4">
        <v>8.1</v>
      </c>
      <c r="N4">
        <v>27</v>
      </c>
      <c r="O4">
        <v>1.01</v>
      </c>
      <c r="P4">
        <v>32</v>
      </c>
      <c r="Q4">
        <v>93</v>
      </c>
      <c r="R4">
        <v>518</v>
      </c>
      <c r="S4">
        <f t="shared" si="0"/>
        <v>0.51800000000000002</v>
      </c>
      <c r="T4">
        <v>3</v>
      </c>
      <c r="U4">
        <v>3.0000000000000001E-3</v>
      </c>
      <c r="V4">
        <v>0.52</v>
      </c>
      <c r="X4">
        <v>43</v>
      </c>
      <c r="Y4">
        <v>0.23799999999999999</v>
      </c>
      <c r="Z4">
        <v>0.16800000000000001</v>
      </c>
      <c r="AA4">
        <v>1.179</v>
      </c>
      <c r="AB4">
        <v>0.376</v>
      </c>
      <c r="AC4">
        <v>62</v>
      </c>
      <c r="AD4">
        <v>0</v>
      </c>
      <c r="AE4">
        <v>1</v>
      </c>
      <c r="AF4">
        <v>28</v>
      </c>
      <c r="AH4">
        <v>0</v>
      </c>
      <c r="AI4">
        <v>0</v>
      </c>
      <c r="AL4">
        <v>0.42499999999999999</v>
      </c>
      <c r="AM4">
        <v>0.78</v>
      </c>
      <c r="AN4">
        <v>0.89400000000000002</v>
      </c>
      <c r="AP4">
        <v>0</v>
      </c>
      <c r="AS4">
        <v>2203</v>
      </c>
    </row>
    <row r="5" spans="1:45" x14ac:dyDescent="0.2">
      <c r="A5" s="1" t="s">
        <v>4</v>
      </c>
      <c r="B5" s="36">
        <v>12061</v>
      </c>
      <c r="C5">
        <v>40</v>
      </c>
      <c r="D5" t="s">
        <v>91</v>
      </c>
      <c r="F5">
        <v>4.41</v>
      </c>
      <c r="G5">
        <v>579</v>
      </c>
      <c r="H5">
        <v>21.15</v>
      </c>
      <c r="I5">
        <v>49.93</v>
      </c>
      <c r="J5">
        <v>21.55</v>
      </c>
      <c r="K5">
        <v>12.5</v>
      </c>
      <c r="L5">
        <v>4.3499999999999996</v>
      </c>
      <c r="N5">
        <v>269</v>
      </c>
      <c r="O5">
        <v>3.71</v>
      </c>
      <c r="P5">
        <v>270</v>
      </c>
      <c r="Q5">
        <v>481</v>
      </c>
      <c r="R5">
        <v>733</v>
      </c>
      <c r="S5">
        <f t="shared" si="0"/>
        <v>0.73299999999999998</v>
      </c>
      <c r="T5">
        <v>1</v>
      </c>
      <c r="U5">
        <v>1E-3</v>
      </c>
      <c r="V5">
        <v>3.12</v>
      </c>
      <c r="X5">
        <v>0</v>
      </c>
      <c r="Y5">
        <v>0.20499999999999999</v>
      </c>
      <c r="Z5">
        <v>1.1379999999999999</v>
      </c>
      <c r="AA5">
        <v>3.6179999999999999</v>
      </c>
      <c r="AB5">
        <v>0.13700000000000001</v>
      </c>
      <c r="AC5">
        <v>44</v>
      </c>
      <c r="AD5">
        <v>0</v>
      </c>
      <c r="AE5">
        <v>0</v>
      </c>
      <c r="AF5">
        <v>2</v>
      </c>
      <c r="AG5">
        <v>25.63</v>
      </c>
      <c r="AH5">
        <v>0</v>
      </c>
      <c r="AI5">
        <v>0</v>
      </c>
      <c r="AJ5">
        <v>0</v>
      </c>
      <c r="AL5">
        <v>3.802</v>
      </c>
      <c r="AM5">
        <v>31.550999999999998</v>
      </c>
      <c r="AN5">
        <v>12.329000000000001</v>
      </c>
      <c r="AO5">
        <v>1.4999999999999999E-2</v>
      </c>
      <c r="AP5">
        <v>0</v>
      </c>
      <c r="AR5">
        <v>0</v>
      </c>
      <c r="AS5">
        <v>2203</v>
      </c>
    </row>
    <row r="6" spans="1:45" x14ac:dyDescent="0.2">
      <c r="A6" s="1" t="s">
        <v>5</v>
      </c>
      <c r="B6" s="36">
        <v>12155</v>
      </c>
      <c r="C6">
        <v>45</v>
      </c>
      <c r="D6" t="s">
        <v>97</v>
      </c>
      <c r="F6">
        <v>4.07</v>
      </c>
      <c r="G6">
        <v>654</v>
      </c>
      <c r="H6">
        <v>15.23</v>
      </c>
      <c r="I6">
        <v>65.209999999999994</v>
      </c>
      <c r="J6">
        <v>13.71</v>
      </c>
      <c r="K6">
        <v>6.7</v>
      </c>
      <c r="L6">
        <v>2.61</v>
      </c>
      <c r="N6">
        <v>98</v>
      </c>
      <c r="O6">
        <v>2.91</v>
      </c>
      <c r="P6">
        <v>158</v>
      </c>
      <c r="Q6">
        <v>346</v>
      </c>
      <c r="R6">
        <v>441</v>
      </c>
      <c r="S6">
        <f t="shared" si="0"/>
        <v>0.441</v>
      </c>
      <c r="T6">
        <v>2</v>
      </c>
      <c r="U6">
        <v>2E-3</v>
      </c>
      <c r="V6">
        <v>3.09</v>
      </c>
      <c r="X6">
        <v>1.3</v>
      </c>
      <c r="Y6">
        <v>0.34100000000000003</v>
      </c>
      <c r="Z6">
        <v>0.15</v>
      </c>
      <c r="AA6">
        <v>1.125</v>
      </c>
      <c r="AB6">
        <v>0.53700000000000003</v>
      </c>
      <c r="AC6">
        <v>98</v>
      </c>
      <c r="AD6">
        <v>0</v>
      </c>
      <c r="AE6">
        <v>1</v>
      </c>
      <c r="AF6">
        <v>20</v>
      </c>
      <c r="AG6">
        <v>0.7</v>
      </c>
      <c r="AH6">
        <v>0</v>
      </c>
      <c r="AI6">
        <v>0</v>
      </c>
      <c r="AJ6">
        <v>2.7</v>
      </c>
      <c r="AL6">
        <v>6.1260000000000003</v>
      </c>
      <c r="AM6">
        <v>8.9329999999999998</v>
      </c>
      <c r="AN6">
        <v>47.173999999999999</v>
      </c>
      <c r="AP6">
        <v>0</v>
      </c>
      <c r="AR6">
        <v>0</v>
      </c>
      <c r="AS6">
        <v>2203</v>
      </c>
    </row>
    <row r="7" spans="1:45" x14ac:dyDescent="0.2">
      <c r="A7" s="1" t="s">
        <v>6</v>
      </c>
      <c r="B7" s="36">
        <v>12151</v>
      </c>
      <c r="C7">
        <v>53</v>
      </c>
      <c r="D7" t="s">
        <v>96</v>
      </c>
      <c r="F7">
        <v>4.37</v>
      </c>
      <c r="G7">
        <v>560</v>
      </c>
      <c r="H7">
        <v>20.16</v>
      </c>
      <c r="I7">
        <v>45.32</v>
      </c>
      <c r="J7">
        <v>27.17</v>
      </c>
      <c r="K7">
        <v>10.6</v>
      </c>
      <c r="L7">
        <v>7.66</v>
      </c>
      <c r="N7">
        <v>105</v>
      </c>
      <c r="O7">
        <v>3.92</v>
      </c>
      <c r="P7">
        <v>121</v>
      </c>
      <c r="Q7">
        <v>490</v>
      </c>
      <c r="R7">
        <v>1025</v>
      </c>
      <c r="S7">
        <f t="shared" si="0"/>
        <v>1.0249999999999999</v>
      </c>
      <c r="T7">
        <v>1</v>
      </c>
      <c r="U7">
        <v>1E-3</v>
      </c>
      <c r="V7">
        <v>2.2000000000000002</v>
      </c>
      <c r="X7">
        <v>5.6</v>
      </c>
      <c r="Y7">
        <v>0.87</v>
      </c>
      <c r="Z7">
        <v>0.16</v>
      </c>
      <c r="AA7">
        <v>1.3</v>
      </c>
      <c r="AB7">
        <v>1.7</v>
      </c>
      <c r="AC7">
        <v>51</v>
      </c>
      <c r="AD7">
        <v>0</v>
      </c>
      <c r="AE7">
        <v>26</v>
      </c>
      <c r="AF7">
        <v>516</v>
      </c>
      <c r="AG7">
        <v>2.86</v>
      </c>
      <c r="AH7">
        <v>0</v>
      </c>
      <c r="AI7">
        <v>0</v>
      </c>
      <c r="AL7">
        <v>5.907</v>
      </c>
      <c r="AM7">
        <v>23.257000000000001</v>
      </c>
      <c r="AN7">
        <v>14.38</v>
      </c>
      <c r="AO7">
        <v>0</v>
      </c>
      <c r="AP7">
        <v>0</v>
      </c>
      <c r="AR7">
        <v>0</v>
      </c>
      <c r="AS7">
        <v>2203</v>
      </c>
    </row>
    <row r="8" spans="1:45" x14ac:dyDescent="0.2">
      <c r="A8" s="1" t="s">
        <v>7</v>
      </c>
      <c r="B8" s="36">
        <v>12120</v>
      </c>
      <c r="C8">
        <v>41</v>
      </c>
      <c r="D8" t="s">
        <v>95</v>
      </c>
      <c r="F8">
        <v>5.31</v>
      </c>
      <c r="G8">
        <v>628</v>
      </c>
      <c r="H8">
        <v>14.95</v>
      </c>
      <c r="I8">
        <v>60.75</v>
      </c>
      <c r="J8">
        <v>16.7</v>
      </c>
      <c r="K8">
        <v>9.6999999999999993</v>
      </c>
      <c r="L8">
        <v>4.34</v>
      </c>
      <c r="N8">
        <v>114</v>
      </c>
      <c r="O8">
        <v>4.7</v>
      </c>
      <c r="P8">
        <v>163</v>
      </c>
      <c r="Q8">
        <v>290</v>
      </c>
      <c r="R8">
        <v>680</v>
      </c>
      <c r="S8">
        <f t="shared" si="0"/>
        <v>0.68</v>
      </c>
      <c r="T8">
        <v>0</v>
      </c>
      <c r="U8">
        <v>0</v>
      </c>
      <c r="V8">
        <v>2.4500000000000002</v>
      </c>
      <c r="X8">
        <v>6.3</v>
      </c>
      <c r="Y8">
        <v>0.64300000000000002</v>
      </c>
      <c r="Z8">
        <v>0.113</v>
      </c>
      <c r="AA8">
        <v>1.8</v>
      </c>
      <c r="AB8">
        <v>0.56299999999999994</v>
      </c>
      <c r="AC8">
        <v>113</v>
      </c>
      <c r="AD8">
        <v>0</v>
      </c>
      <c r="AE8">
        <v>1</v>
      </c>
      <c r="AF8">
        <v>20</v>
      </c>
      <c r="AG8">
        <v>15.03</v>
      </c>
      <c r="AH8">
        <v>0</v>
      </c>
      <c r="AI8">
        <v>0</v>
      </c>
      <c r="AJ8">
        <v>14.2</v>
      </c>
      <c r="AL8">
        <v>4.4640000000000004</v>
      </c>
      <c r="AM8">
        <v>45.652000000000001</v>
      </c>
      <c r="AN8">
        <v>7.92</v>
      </c>
      <c r="AP8">
        <v>0</v>
      </c>
      <c r="AR8">
        <v>0</v>
      </c>
      <c r="AS8">
        <v>2203</v>
      </c>
    </row>
    <row r="9" spans="1:45" x14ac:dyDescent="0.2">
      <c r="A9" s="34" t="s">
        <v>8</v>
      </c>
      <c r="B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S1" workbookViewId="0">
      <selection activeCell="Q7" sqref="Q7"/>
    </sheetView>
  </sheetViews>
  <sheetFormatPr baseColWidth="10" defaultColWidth="8.83203125" defaultRowHeight="15" x14ac:dyDescent="0.2"/>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12078</v>
      </c>
      <c r="B2" s="48">
        <f>cothr!$AA2*FCT!C2</f>
        <v>0.38837083002201644</v>
      </c>
      <c r="C2" t="str">
        <f>FCT!D2</f>
        <v xml:space="preserve">49% Refuse Description: Shells </v>
      </c>
      <c r="D2" s="48">
        <f>cothr!$AA2*FCT!E2</f>
        <v>0</v>
      </c>
      <c r="E2" s="48">
        <f>cothr!$AA2*FCT!F2</f>
        <v>2.6043690954417571E-2</v>
      </c>
      <c r="F2" s="48">
        <f>cothr!$AA2*FCT!G2</f>
        <v>5.0183603330295847</v>
      </c>
      <c r="G2" s="48">
        <f>cothr!$AA2*FCT!H2</f>
        <v>0.10904843697873089</v>
      </c>
      <c r="H2" s="48">
        <f>cothr!$AA2*FCT!I2</f>
        <v>0.51097417047994709</v>
      </c>
      <c r="I2" s="48">
        <f>cothr!$AA2*FCT!J2</f>
        <v>8.9401442048205354E-2</v>
      </c>
      <c r="J2" s="48">
        <f>cothr!$AA2*FCT!K2</f>
        <v>5.7113357356178888E-2</v>
      </c>
      <c r="K2" s="48">
        <f>cothr!$AA2*FCT!L2</f>
        <v>1.7743216351986241E-2</v>
      </c>
      <c r="L2" s="48">
        <f>cothr!$AA2*FCT!M2</f>
        <v>0</v>
      </c>
      <c r="M2" s="48">
        <f>cothr!$AA2*FCT!N2</f>
        <v>1.2184182902651495</v>
      </c>
      <c r="N2" s="48">
        <f>cothr!$AA2*FCT!O2</f>
        <v>1.850472778340196E-2</v>
      </c>
      <c r="O2" s="48">
        <f>cothr!$AA2*FCT!P2</f>
        <v>2.8632829821231014</v>
      </c>
      <c r="P2" s="48">
        <f>cothr!$AA2*FCT!Q2</f>
        <v>5.5209578777639585</v>
      </c>
      <c r="Q2" s="48">
        <f>cothr!$AA2*FCT!R2</f>
        <v>5.0183603330295847</v>
      </c>
      <c r="R2" s="48">
        <f>cothr!$AA2*FCT!S2</f>
        <v>5.0183603330295852E-3</v>
      </c>
      <c r="S2" s="48">
        <f>cothr!$AA2*FCT!T2</f>
        <v>2.2845342942471553E-2</v>
      </c>
      <c r="T2" s="48">
        <f>cothr!$AA2*FCT!U2</f>
        <v>2.2845342942471556E-5</v>
      </c>
      <c r="U2" s="48">
        <f>cothr!$AA2*FCT!V2</f>
        <v>3.0917364115478168E-2</v>
      </c>
      <c r="V2" s="48">
        <f>cothr!$AA2*FCT!W2</f>
        <v>0</v>
      </c>
      <c r="W2" s="48">
        <f>cothr!$AA2*FCT!X2</f>
        <v>5.330580019910029E-3</v>
      </c>
      <c r="X2" s="48">
        <f>cothr!$AA2*FCT!Y2</f>
        <v>4.6985255318349826E-3</v>
      </c>
      <c r="Y2" s="48">
        <f>cothr!$AA2*FCT!Z2</f>
        <v>2.6652900099550147E-4</v>
      </c>
      <c r="Z2" s="48">
        <f>cothr!$AA2*FCT!AA2</f>
        <v>2.2464587226763695E-3</v>
      </c>
      <c r="AA2" s="48">
        <f>cothr!$AA2*FCT!AB2</f>
        <v>7.6912654572987575E-4</v>
      </c>
      <c r="AB2" s="48">
        <f>cothr!$AA2*FCT!AC2</f>
        <v>0.16753251491145807</v>
      </c>
      <c r="AC2" s="48">
        <f>cothr!$AA2*FCT!AD2</f>
        <v>0</v>
      </c>
      <c r="AD2" s="48">
        <f>cothr!$AA2*FCT!AE2</f>
        <v>0</v>
      </c>
      <c r="AE2" s="48">
        <f>cothr!$AA2*FCT!AF2</f>
        <v>0</v>
      </c>
      <c r="AF2" s="48">
        <f>cothr!$AA2*FCT!AG2</f>
        <v>4.3025395874988097E-2</v>
      </c>
      <c r="AG2" s="48">
        <f>cothr!$AA2*FCT!AH2</f>
        <v>0</v>
      </c>
      <c r="AH2" s="48">
        <f>cothr!$AA2*FCT!AI2</f>
        <v>0</v>
      </c>
      <c r="AI2" s="48">
        <f>cothr!$AA2*FCT!AJ2</f>
        <v>0</v>
      </c>
      <c r="AJ2" s="48">
        <f>cothr!$AA2*FCT!AK2</f>
        <v>0</v>
      </c>
      <c r="AK2" s="48">
        <f>cothr!$AA2*FCT!AL2</f>
        <v>0.12286225434461202</v>
      </c>
      <c r="AL2" s="48">
        <f>cothr!$AA2*FCT!AM2</f>
        <v>0.18184131470775941</v>
      </c>
      <c r="AM2" s="48">
        <f>cothr!$AA2*FCT!AN2</f>
        <v>0.18580117415112116</v>
      </c>
      <c r="AN2" s="48">
        <f>cothr!$AA2*FCT!AO2</f>
        <v>0</v>
      </c>
      <c r="AO2" s="48">
        <f>cothr!$AA2*FCT!AP2</f>
        <v>0</v>
      </c>
      <c r="AP2" s="48">
        <f>cothr!$AA2*FCT!AQ2</f>
        <v>0</v>
      </c>
      <c r="AQ2" s="48">
        <f>cothr!$AA2*FCT!AR2</f>
        <v>0</v>
      </c>
    </row>
    <row r="3" spans="1:43" x14ac:dyDescent="0.2">
      <c r="A3">
        <f>FCT!B3</f>
        <v>12087</v>
      </c>
      <c r="B3" s="48">
        <f>cothr!AA3*FCT!C3</f>
        <v>7.527567402734042</v>
      </c>
      <c r="C3" t="str">
        <f>FCT!D3</f>
        <v>refuse = 75% shell, from FAO documention</v>
      </c>
      <c r="D3" s="48">
        <f>cothr!$AA3*FCT!E3</f>
        <v>0</v>
      </c>
      <c r="E3" s="48">
        <f>cothr!$AA3*FCT!F3</f>
        <v>1.5657340197686809</v>
      </c>
      <c r="F3" s="48">
        <f>cothr!$AA3*FCT!G3</f>
        <v>166.50979094847702</v>
      </c>
      <c r="G3" s="48">
        <f>cothr!$AA3*FCT!H3</f>
        <v>5.48609112311257</v>
      </c>
      <c r="H3" s="48">
        <f>cothr!$AA3*FCT!I3</f>
        <v>13.20335322439551</v>
      </c>
      <c r="I3" s="48">
        <f>cothr!$AA3*FCT!J3</f>
        <v>9.0902903955416292</v>
      </c>
      <c r="J3" s="48">
        <f>cothr!$AA3*FCT!K3</f>
        <v>0.99363889716089349</v>
      </c>
      <c r="K3" s="48">
        <f>cothr!$AA3*FCT!L3</f>
        <v>1.7795169340063277</v>
      </c>
      <c r="L3" s="48">
        <f>cothr!$AA3*FCT!M3</f>
        <v>0</v>
      </c>
      <c r="M3" s="48">
        <f>cothr!$AA3*FCT!N3</f>
        <v>11.140799756046382</v>
      </c>
      <c r="N3" s="48">
        <f>cothr!$AA3*FCT!O3</f>
        <v>2.0113660100105362</v>
      </c>
      <c r="O3" s="48">
        <f>cothr!$AA3*FCT!P3</f>
        <v>87.921987263933616</v>
      </c>
      <c r="P3" s="48">
        <f>cothr!$AA3*FCT!Q3</f>
        <v>178.55389879285147</v>
      </c>
      <c r="Q3" s="48">
        <f>cothr!$AA3*FCT!R3</f>
        <v>198.72777943217872</v>
      </c>
      <c r="R3" s="48">
        <f>cothr!$AA3*FCT!S3</f>
        <v>0.19872777943217873</v>
      </c>
      <c r="S3" s="48">
        <f>cothr!$AA3*FCT!T3</f>
        <v>3.6132323533123403</v>
      </c>
      <c r="T3" s="48">
        <f>cothr!$AA3*FCT!U3</f>
        <v>3.6132323533123404E-3</v>
      </c>
      <c r="U3" s="48">
        <f>cothr!$AA3*FCT!V3</f>
        <v>1.7403735835121106</v>
      </c>
      <c r="V3" s="48">
        <f>cothr!$AA3*FCT!W3</f>
        <v>0</v>
      </c>
      <c r="W3" s="48">
        <f>cothr!$AA3*FCT!X3</f>
        <v>0.15055134805468084</v>
      </c>
      <c r="X3" s="48">
        <f>cothr!$AA3*FCT!Y3</f>
        <v>0.12736644045425999</v>
      </c>
      <c r="Y3" s="48">
        <f>cothr!$AA3*FCT!Z3</f>
        <v>1.7463956374342979E-2</v>
      </c>
      <c r="Z3" s="48">
        <f>cothr!$AA3*FCT!AA3</f>
        <v>0.31977106326814214</v>
      </c>
      <c r="AA3" s="48">
        <f>cothr!$AA3*FCT!AB3</f>
        <v>0.12555982427760382</v>
      </c>
      <c r="AB3" s="48">
        <f>cothr!$AA3*FCT!AC3</f>
        <v>7.527567402734042</v>
      </c>
      <c r="AC3" s="48">
        <f>cothr!$AA3*FCT!AD3</f>
        <v>0</v>
      </c>
      <c r="AD3" s="48">
        <f>cothr!$AA3*FCT!AE3</f>
        <v>0</v>
      </c>
      <c r="AE3" s="48">
        <f>cothr!$AA3*FCT!AF3</f>
        <v>0</v>
      </c>
      <c r="AF3" s="48">
        <f>cothr!$AA3*FCT!AG3</f>
        <v>0.27099242649842553</v>
      </c>
      <c r="AG3" s="48">
        <f>cothr!$AA3*FCT!AH3</f>
        <v>0</v>
      </c>
      <c r="AH3" s="48">
        <f>cothr!$AA3*FCT!AI3</f>
        <v>0</v>
      </c>
      <c r="AI3" s="48">
        <f>cothr!$AA3*FCT!AJ3</f>
        <v>10.267601937329234</v>
      </c>
      <c r="AJ3" s="48">
        <f>cothr!$AA3*FCT!AK3</f>
        <v>0</v>
      </c>
      <c r="AK3" s="48">
        <f>cothr!$AA3*FCT!AL3</f>
        <v>2.3434822838191622</v>
      </c>
      <c r="AL3" s="48">
        <f>cothr!$AA3*FCT!AM3</f>
        <v>7.1653408593144805</v>
      </c>
      <c r="AM3" s="48">
        <f>cothr!$AA3*FCT!AN3</f>
        <v>2.3621506509779424</v>
      </c>
      <c r="AN3" s="48">
        <f>cothr!$AA3*FCT!AO3</f>
        <v>0</v>
      </c>
      <c r="AO3" s="48">
        <f>cothr!$AA3*FCT!AP3</f>
        <v>0</v>
      </c>
      <c r="AP3" s="48">
        <f>cothr!$AA3*FCT!AQ3</f>
        <v>0</v>
      </c>
      <c r="AQ3" s="48">
        <f>cothr!$AA3*FCT!AR3</f>
        <v>0</v>
      </c>
    </row>
    <row r="4" spans="1:43" x14ac:dyDescent="0.2">
      <c r="A4">
        <f>FCT!B4</f>
        <v>12097</v>
      </c>
      <c r="B4" s="48">
        <f>cothr!AA4*FCT!C4</f>
        <v>10.091506642870902</v>
      </c>
      <c r="C4" t="str">
        <f>FCT!D4</f>
        <v xml:space="preserve">26% Refuse Description: Shells </v>
      </c>
      <c r="D4" s="48">
        <f>cothr!$AA4*FCT!E4</f>
        <v>0</v>
      </c>
      <c r="E4" s="48">
        <f>cothr!$AA4*FCT!F4</f>
        <v>6.634483759130668</v>
      </c>
      <c r="F4" s="48">
        <f>cothr!$AA4*FCT!G4</f>
        <v>29.047174526101383</v>
      </c>
      <c r="G4" s="48">
        <f>cothr!$AA4*FCT!H4</f>
        <v>0.33001954156415653</v>
      </c>
      <c r="H4" s="48">
        <f>cothr!$AA4*FCT!I4</f>
        <v>0.30820006774173297</v>
      </c>
      <c r="I4" s="48">
        <f>cothr!$AA4*FCT!J4</f>
        <v>6.21036773670731</v>
      </c>
      <c r="J4" s="48">
        <f>cothr!$AA4*FCT!K4</f>
        <v>1.1046108622601933</v>
      </c>
      <c r="K4" s="48">
        <f>cothr!$AA4*FCT!L4</f>
        <v>0</v>
      </c>
      <c r="L4" s="48">
        <f>cothr!$AA4*FCT!M4</f>
        <v>0</v>
      </c>
      <c r="M4" s="48">
        <f>cothr!$AA4*FCT!N4</f>
        <v>3.6820362075339781</v>
      </c>
      <c r="N4" s="48">
        <f>cothr!$AA4*FCT!O4</f>
        <v>0.13773542850404882</v>
      </c>
      <c r="O4" s="48">
        <f>cothr!$AA4*FCT!P4</f>
        <v>4.3638947644847148</v>
      </c>
      <c r="P4" s="48">
        <f>cothr!$AA4*FCT!Q4</f>
        <v>12.682569159283702</v>
      </c>
      <c r="Q4" s="48">
        <f>cothr!$AA4*FCT!R4</f>
        <v>70.64054650009632</v>
      </c>
      <c r="R4" s="48">
        <f>cothr!$AA4*FCT!S4</f>
        <v>7.0640546500096324E-2</v>
      </c>
      <c r="S4" s="48">
        <f>cothr!$AA4*FCT!T4</f>
        <v>0.40911513417044199</v>
      </c>
      <c r="T4" s="48">
        <f>cothr!$AA4*FCT!U4</f>
        <v>4.09115134170442E-4</v>
      </c>
      <c r="U4" s="48">
        <f>cothr!$AA4*FCT!V4</f>
        <v>7.0913289922876613E-2</v>
      </c>
      <c r="V4" s="48">
        <f>cothr!$AA4*FCT!W4</f>
        <v>0</v>
      </c>
      <c r="W4" s="48">
        <f>cothr!$AA4*FCT!X4</f>
        <v>5.8639835897763355</v>
      </c>
      <c r="X4" s="48">
        <f>cothr!$AA4*FCT!Y4</f>
        <v>3.2456467310855067E-2</v>
      </c>
      <c r="Y4" s="48">
        <f>cothr!$AA4*FCT!Z4</f>
        <v>2.2910447513544756E-2</v>
      </c>
      <c r="Z4" s="48">
        <f>cothr!$AA4*FCT!AA4</f>
        <v>0.16078224772898372</v>
      </c>
      <c r="AA4" s="48">
        <f>cothr!$AA4*FCT!AB4</f>
        <v>5.12757634826954E-2</v>
      </c>
      <c r="AB4" s="48">
        <f>cothr!$AA4*FCT!AC4</f>
        <v>8.4550461061891351</v>
      </c>
      <c r="AC4" s="48">
        <f>cothr!$AA4*FCT!AD4</f>
        <v>0</v>
      </c>
      <c r="AD4" s="48">
        <f>cothr!$AA4*FCT!AE4</f>
        <v>0.13637171139014734</v>
      </c>
      <c r="AE4" s="48">
        <f>cothr!$AA4*FCT!AF4</f>
        <v>3.8184079189241253</v>
      </c>
      <c r="AF4" s="48">
        <f>cothr!$AA4*FCT!AG4</f>
        <v>0</v>
      </c>
      <c r="AG4" s="48">
        <f>cothr!$AA4*FCT!AH4</f>
        <v>0</v>
      </c>
      <c r="AH4" s="48">
        <f>cothr!$AA4*FCT!AI4</f>
        <v>0</v>
      </c>
      <c r="AI4" s="48">
        <f>cothr!$AA4*FCT!AJ4</f>
        <v>0</v>
      </c>
      <c r="AJ4" s="48">
        <f>cothr!$AA4*FCT!AK4</f>
        <v>0</v>
      </c>
      <c r="AK4" s="48">
        <f>cothr!$AA4*FCT!AL4</f>
        <v>5.7957977340812615E-2</v>
      </c>
      <c r="AL4" s="48">
        <f>cothr!$AA4*FCT!AM4</f>
        <v>0.10636993488431493</v>
      </c>
      <c r="AM4" s="48">
        <f>cothr!$AA4*FCT!AN4</f>
        <v>0.12191630998279172</v>
      </c>
      <c r="AN4" s="48">
        <f>cothr!$AA4*FCT!AO4</f>
        <v>0</v>
      </c>
      <c r="AO4" s="48">
        <f>cothr!$AA4*FCT!AP4</f>
        <v>0</v>
      </c>
      <c r="AP4" s="48">
        <f>cothr!$AA4*FCT!AQ4</f>
        <v>0</v>
      </c>
      <c r="AQ4" s="48">
        <f>cothr!$AA4*FCT!AR4</f>
        <v>0</v>
      </c>
    </row>
    <row r="5" spans="1:43" x14ac:dyDescent="0.2">
      <c r="A5">
        <f>FCT!B5</f>
        <v>12061</v>
      </c>
      <c r="B5" s="48">
        <f>cothr!AA5*FCT!C5</f>
        <v>8.3564426537183536</v>
      </c>
      <c r="C5" t="str">
        <f>FCT!D5</f>
        <v xml:space="preserve"> 60% Refuse Description: Shells </v>
      </c>
      <c r="D5" s="48">
        <f>cothr!$AA5*FCT!E5</f>
        <v>0</v>
      </c>
      <c r="E5" s="48">
        <f>cothr!$AA5*FCT!F5</f>
        <v>0.92129780257244853</v>
      </c>
      <c r="F5" s="48">
        <f>cothr!$AA5*FCT!G5</f>
        <v>120.95950741257316</v>
      </c>
      <c r="G5" s="48">
        <f>cothr!$AA5*FCT!H5</f>
        <v>4.4184690531535793</v>
      </c>
      <c r="H5" s="48">
        <f>cothr!$AA5*FCT!I5</f>
        <v>10.430929542503934</v>
      </c>
      <c r="I5" s="48">
        <f>cothr!$AA5*FCT!J5</f>
        <v>4.5020334796907626</v>
      </c>
      <c r="J5" s="48">
        <f>cothr!$AA5*FCT!K5</f>
        <v>2.6113883292869855</v>
      </c>
      <c r="K5" s="48">
        <f>cothr!$AA5*FCT!L5</f>
        <v>0.90876313859187086</v>
      </c>
      <c r="L5" s="48">
        <f>cothr!$AA5*FCT!M5</f>
        <v>0</v>
      </c>
      <c r="M5" s="48">
        <f>cothr!$AA5*FCT!N5</f>
        <v>56.197076846255925</v>
      </c>
      <c r="N5" s="48">
        <f>cothr!$AA5*FCT!O5</f>
        <v>0.77506005613237727</v>
      </c>
      <c r="O5" s="48">
        <f>cothr!$AA5*FCT!P5</f>
        <v>56.405987912598889</v>
      </c>
      <c r="P5" s="48">
        <f>cothr!$AA5*FCT!Q5</f>
        <v>100.48622291096319</v>
      </c>
      <c r="Q5" s="48">
        <f>cothr!$AA5*FCT!R5</f>
        <v>153.13181162938884</v>
      </c>
      <c r="R5" s="48">
        <f>cothr!$AA5*FCT!S5</f>
        <v>0.15313181162938883</v>
      </c>
      <c r="S5" s="48">
        <f>cothr!$AA5*FCT!T5</f>
        <v>0.20891106634295883</v>
      </c>
      <c r="T5" s="48">
        <f>cothr!$AA5*FCT!U5</f>
        <v>2.0891106634295884E-4</v>
      </c>
      <c r="U5" s="48">
        <f>cothr!$AA5*FCT!V5</f>
        <v>0.65180252699003161</v>
      </c>
      <c r="V5" s="48">
        <f>cothr!$AA5*FCT!W5</f>
        <v>0</v>
      </c>
      <c r="W5" s="48">
        <f>cothr!$AA5*FCT!X5</f>
        <v>0</v>
      </c>
      <c r="X5" s="48">
        <f>cothr!$AA5*FCT!Y5</f>
        <v>4.2826768600306556E-2</v>
      </c>
      <c r="Y5" s="48">
        <f>cothr!$AA5*FCT!Z5</f>
        <v>0.23774079349828714</v>
      </c>
      <c r="Z5" s="48">
        <f>cothr!$AA5*FCT!AA5</f>
        <v>0.75584023802882505</v>
      </c>
      <c r="AA5" s="48">
        <f>cothr!$AA5*FCT!AB5</f>
        <v>2.8620816088985361E-2</v>
      </c>
      <c r="AB5" s="48">
        <f>cothr!$AA5*FCT!AC5</f>
        <v>9.1920869190901886</v>
      </c>
      <c r="AC5" s="48">
        <f>cothr!$AA5*FCT!AD5</f>
        <v>0</v>
      </c>
      <c r="AD5" s="48">
        <f>cothr!$AA5*FCT!AE5</f>
        <v>0</v>
      </c>
      <c r="AE5" s="48">
        <f>cothr!$AA5*FCT!AF5</f>
        <v>0.41782213268591767</v>
      </c>
      <c r="AF5" s="48">
        <f>cothr!$AA5*FCT!AG5</f>
        <v>5.3543906303700348</v>
      </c>
      <c r="AG5" s="48">
        <f>cothr!$AA5*FCT!AH5</f>
        <v>0</v>
      </c>
      <c r="AH5" s="48">
        <f>cothr!$AA5*FCT!AI5</f>
        <v>0</v>
      </c>
      <c r="AI5" s="48">
        <f>cothr!$AA5*FCT!AJ5</f>
        <v>0</v>
      </c>
      <c r="AJ5" s="48">
        <f>cothr!$AA5*FCT!AK5</f>
        <v>0</v>
      </c>
      <c r="AK5" s="48">
        <f>cothr!$AA5*FCT!AL5</f>
        <v>0.7942798742359295</v>
      </c>
      <c r="AL5" s="48">
        <f>cothr!$AA5*FCT!AM5</f>
        <v>6.591353054186694</v>
      </c>
      <c r="AM5" s="48">
        <f>cothr!$AA5*FCT!AN5</f>
        <v>2.5756645369423397</v>
      </c>
      <c r="AN5" s="48">
        <f>cothr!$AA5*FCT!AO5</f>
        <v>3.1336659951443826E-3</v>
      </c>
      <c r="AO5" s="48">
        <f>cothr!$AA5*FCT!AP5</f>
        <v>0</v>
      </c>
      <c r="AP5" s="48">
        <f>cothr!$AA5*FCT!AQ5</f>
        <v>0</v>
      </c>
      <c r="AQ5" s="48">
        <f>cothr!$AA5*FCT!AR5</f>
        <v>0</v>
      </c>
    </row>
    <row r="6" spans="1:43" x14ac:dyDescent="0.2">
      <c r="A6">
        <f>FCT!B6</f>
        <v>12155</v>
      </c>
      <c r="B6" s="48">
        <f>cothr!AA6*FCT!C6</f>
        <v>10.387974626854312</v>
      </c>
      <c r="C6" t="str">
        <f>FCT!D6</f>
        <v xml:space="preserve">55% Refuse Description: Shells </v>
      </c>
      <c r="D6" s="48">
        <f>cothr!$AA6*FCT!E6</f>
        <v>0</v>
      </c>
      <c r="E6" s="48">
        <f>cothr!$AA6*FCT!F6</f>
        <v>0.93953459402882344</v>
      </c>
      <c r="F6" s="48">
        <f>cothr!$AA6*FCT!G6</f>
        <v>150.97189791028268</v>
      </c>
      <c r="G6" s="48">
        <f>cothr!$AA6*FCT!H6</f>
        <v>3.5157523014886931</v>
      </c>
      <c r="H6" s="48">
        <f>cothr!$AA6*FCT!I6</f>
        <v>15.053329453714881</v>
      </c>
      <c r="I6" s="48">
        <f>cothr!$AA6*FCT!J6</f>
        <v>3.1648696029816139</v>
      </c>
      <c r="J6" s="48">
        <f>cothr!$AA6*FCT!K6</f>
        <v>1.5466539999983089</v>
      </c>
      <c r="K6" s="48">
        <f>cothr!$AA6*FCT!L6</f>
        <v>0.60250252835755014</v>
      </c>
      <c r="L6" s="48">
        <f>cothr!$AA6*FCT!M6</f>
        <v>0</v>
      </c>
      <c r="M6" s="48">
        <f>cothr!$AA6*FCT!N6</f>
        <v>22.622700298482727</v>
      </c>
      <c r="N6" s="48">
        <f>cothr!$AA6*FCT!O6</f>
        <v>0.67175569253657896</v>
      </c>
      <c r="O6" s="48">
        <f>cothr!$AA6*FCT!P6</f>
        <v>36.473333134288474</v>
      </c>
      <c r="P6" s="48">
        <f>cothr!$AA6*FCT!Q6</f>
        <v>79.871982686479825</v>
      </c>
      <c r="Q6" s="48">
        <f>cothr!$AA6*FCT!R6</f>
        <v>101.80215134317227</v>
      </c>
      <c r="R6" s="48">
        <f>cothr!$AA6*FCT!S6</f>
        <v>0.10180215134317226</v>
      </c>
      <c r="S6" s="48">
        <f>cothr!$AA6*FCT!T6</f>
        <v>0.461687761193525</v>
      </c>
      <c r="T6" s="48">
        <f>cothr!$AA6*FCT!U6</f>
        <v>4.61687761193525E-4</v>
      </c>
      <c r="U6" s="48">
        <f>cothr!$AA6*FCT!V6</f>
        <v>0.7133075910439961</v>
      </c>
      <c r="V6" s="48">
        <f>cothr!$AA6*FCT!W6</f>
        <v>0</v>
      </c>
      <c r="W6" s="48">
        <f>cothr!$AA6*FCT!X6</f>
        <v>0.30009704477579124</v>
      </c>
      <c r="X6" s="48">
        <f>cothr!$AA6*FCT!Y6</f>
        <v>7.8717763283496014E-2</v>
      </c>
      <c r="Y6" s="48">
        <f>cothr!$AA6*FCT!Z6</f>
        <v>3.4626582089514371E-2</v>
      </c>
      <c r="Z6" s="48">
        <f>cothr!$AA6*FCT!AA6</f>
        <v>0.25969936567135782</v>
      </c>
      <c r="AA6" s="48">
        <f>cothr!$AA6*FCT!AB6</f>
        <v>0.12396316388046147</v>
      </c>
      <c r="AB6" s="48">
        <f>cothr!$AA6*FCT!AC6</f>
        <v>22.622700298482727</v>
      </c>
      <c r="AC6" s="48">
        <f>cothr!$AA6*FCT!AD6</f>
        <v>0</v>
      </c>
      <c r="AD6" s="48">
        <f>cothr!$AA6*FCT!AE6</f>
        <v>0.2308438805967625</v>
      </c>
      <c r="AE6" s="48">
        <f>cothr!$AA6*FCT!AF6</f>
        <v>4.6168776119352497</v>
      </c>
      <c r="AF6" s="48">
        <f>cothr!$AA6*FCT!AG6</f>
        <v>0.16159071641773373</v>
      </c>
      <c r="AG6" s="48">
        <f>cothr!$AA6*FCT!AH6</f>
        <v>0</v>
      </c>
      <c r="AH6" s="48">
        <f>cothr!$AA6*FCT!AI6</f>
        <v>0</v>
      </c>
      <c r="AI6" s="48">
        <f>cothr!$AA6*FCT!AJ6</f>
        <v>0.62327847761125876</v>
      </c>
      <c r="AJ6" s="48">
        <f>cothr!$AA6*FCT!AK6</f>
        <v>0</v>
      </c>
      <c r="AK6" s="48">
        <f>cothr!$AA6*FCT!AL6</f>
        <v>1.4141496125357671</v>
      </c>
      <c r="AL6" s="48">
        <f>cothr!$AA6*FCT!AM6</f>
        <v>2.0621283853708792</v>
      </c>
      <c r="AM6" s="48">
        <f>cothr!$AA6*FCT!AN6</f>
        <v>10.889829223271674</v>
      </c>
      <c r="AN6" s="48">
        <f>cothr!$AA6*FCT!AO6</f>
        <v>0</v>
      </c>
      <c r="AO6" s="48">
        <f>cothr!$AA6*FCT!AP6</f>
        <v>0</v>
      </c>
      <c r="AP6" s="48">
        <f>cothr!$AA6*FCT!AQ6</f>
        <v>0</v>
      </c>
      <c r="AQ6" s="48">
        <f>cothr!$AA6*FCT!AR6</f>
        <v>0</v>
      </c>
    </row>
    <row r="7" spans="1:43" x14ac:dyDescent="0.2">
      <c r="A7">
        <f>FCT!B7</f>
        <v>12151</v>
      </c>
      <c r="B7" s="48">
        <f>cothr!AA7*FCT!C7</f>
        <v>3.3128893765790273</v>
      </c>
      <c r="C7" t="str">
        <f>FCT!D7</f>
        <v xml:space="preserve">47% Refuse Description: Shells </v>
      </c>
      <c r="D7" s="48">
        <f>cothr!$AA7*FCT!E7</f>
        <v>0</v>
      </c>
      <c r="E7" s="48">
        <f>cothr!$AA7*FCT!F7</f>
        <v>0.27315710520094999</v>
      </c>
      <c r="F7" s="48">
        <f>cothr!$AA7*FCT!G7</f>
        <v>35.004114167627456</v>
      </c>
      <c r="G7" s="48">
        <f>cothr!$AA7*FCT!H7</f>
        <v>1.2601481100345884</v>
      </c>
      <c r="H7" s="48">
        <f>cothr!$AA7*FCT!I7</f>
        <v>2.8328329537087078</v>
      </c>
      <c r="I7" s="48">
        <f>cothr!$AA7*FCT!J7</f>
        <v>1.6983246105972107</v>
      </c>
      <c r="J7" s="48">
        <f>cothr!$AA7*FCT!K7</f>
        <v>0.66257787531580536</v>
      </c>
      <c r="K7" s="48">
        <f>cothr!$AA7*FCT!L7</f>
        <v>0.47880627593576131</v>
      </c>
      <c r="L7" s="48">
        <f>cothr!$AA7*FCT!M7</f>
        <v>0</v>
      </c>
      <c r="M7" s="48">
        <f>cothr!$AA7*FCT!N7</f>
        <v>6.5632714064301476</v>
      </c>
      <c r="N7" s="48">
        <f>cothr!$AA7*FCT!O7</f>
        <v>0.24502879917339218</v>
      </c>
      <c r="O7" s="48">
        <f>cothr!$AA7*FCT!P7</f>
        <v>7.5633889540766468</v>
      </c>
      <c r="P7" s="48">
        <f>cothr!$AA7*FCT!Q7</f>
        <v>30.628599896674025</v>
      </c>
      <c r="Q7" s="48">
        <f>cothr!$AA7*FCT!R7</f>
        <v>64.070030396103832</v>
      </c>
      <c r="R7" s="48">
        <f>cothr!$AA7*FCT!S7</f>
        <v>6.4070030396103816E-2</v>
      </c>
      <c r="S7" s="48">
        <f>cothr!$AA7*FCT!T7</f>
        <v>6.2507346727906171E-2</v>
      </c>
      <c r="T7" s="48">
        <f>cothr!$AA7*FCT!U7</f>
        <v>6.2507346727906169E-5</v>
      </c>
      <c r="U7" s="48">
        <f>cothr!$AA7*FCT!V7</f>
        <v>0.13751616280139359</v>
      </c>
      <c r="V7" s="48">
        <f>cothr!$AA7*FCT!W7</f>
        <v>0</v>
      </c>
      <c r="W7" s="48">
        <f>cothr!$AA7*FCT!X7</f>
        <v>0.35004114167627454</v>
      </c>
      <c r="X7" s="48">
        <f>cothr!$AA7*FCT!Y7</f>
        <v>5.438139165327837E-2</v>
      </c>
      <c r="Y7" s="48">
        <f>cothr!$AA7*FCT!Z7</f>
        <v>1.0001175476464988E-2</v>
      </c>
      <c r="Z7" s="48">
        <f>cothr!$AA7*FCT!AA7</f>
        <v>8.1259550746278025E-2</v>
      </c>
      <c r="AA7" s="48">
        <f>cothr!$AA7*FCT!AB7</f>
        <v>0.10626248943744049</v>
      </c>
      <c r="AB7" s="48">
        <f>cothr!$AA7*FCT!AC7</f>
        <v>3.1878746831232148</v>
      </c>
      <c r="AC7" s="48">
        <f>cothr!$AA7*FCT!AD7</f>
        <v>0</v>
      </c>
      <c r="AD7" s="48">
        <f>cothr!$AA7*FCT!AE7</f>
        <v>1.6251910149255604</v>
      </c>
      <c r="AE7" s="48">
        <f>cothr!$AA7*FCT!AF7</f>
        <v>32.253790911599587</v>
      </c>
      <c r="AF7" s="48">
        <f>cothr!$AA7*FCT!AG7</f>
        <v>0.17877101164181164</v>
      </c>
      <c r="AG7" s="48">
        <f>cothr!$AA7*FCT!AH7</f>
        <v>0</v>
      </c>
      <c r="AH7" s="48">
        <f>cothr!$AA7*FCT!AI7</f>
        <v>0</v>
      </c>
      <c r="AI7" s="48">
        <f>cothr!$AA7*FCT!AJ7</f>
        <v>0</v>
      </c>
      <c r="AJ7" s="48">
        <f>cothr!$AA7*FCT!AK7</f>
        <v>0</v>
      </c>
      <c r="AK7" s="48">
        <f>cothr!$AA7*FCT!AL7</f>
        <v>0.36923089712174173</v>
      </c>
      <c r="AL7" s="48">
        <f>cothr!$AA7*FCT!AM7</f>
        <v>1.4537333628509139</v>
      </c>
      <c r="AM7" s="48">
        <f>cothr!$AA7*FCT!AN7</f>
        <v>0.89885564594729084</v>
      </c>
      <c r="AN7" s="48">
        <f>cothr!$AA7*FCT!AO7</f>
        <v>0</v>
      </c>
      <c r="AO7" s="48">
        <f>cothr!$AA7*FCT!AP7</f>
        <v>0</v>
      </c>
      <c r="AP7" s="48">
        <f>cothr!$AA7*FCT!AQ7</f>
        <v>0</v>
      </c>
      <c r="AQ7" s="48">
        <f>cothr!$AA7*FCT!AR7</f>
        <v>0</v>
      </c>
    </row>
    <row r="8" spans="1:43" x14ac:dyDescent="0.2">
      <c r="A8">
        <f>FCT!B8</f>
        <v>12120</v>
      </c>
      <c r="B8" s="48">
        <f>cothr!AA8*FCT!C8</f>
        <v>2.1585755652669625</v>
      </c>
      <c r="C8" t="str">
        <f>FCT!D8</f>
        <v xml:space="preserve">59% Refuse Description: Shells </v>
      </c>
      <c r="D8" s="48">
        <f>cothr!$AA8*FCT!E8</f>
        <v>0</v>
      </c>
      <c r="E8" s="48">
        <f>cothr!$AA8*FCT!F8</f>
        <v>0.27956185979433096</v>
      </c>
      <c r="F8" s="48">
        <f>cothr!$AA8*FCT!G8</f>
        <v>33.063059877747619</v>
      </c>
      <c r="G8" s="48">
        <f>cothr!$AA8*FCT!H8</f>
        <v>0.78709035855466059</v>
      </c>
      <c r="H8" s="48">
        <f>cothr!$AA8*FCT!I8</f>
        <v>3.1983772095114138</v>
      </c>
      <c r="I8" s="48">
        <f>cothr!$AA8*FCT!J8</f>
        <v>0.87922468146239685</v>
      </c>
      <c r="J8" s="48">
        <f>cothr!$AA8*FCT!K8</f>
        <v>0.51068738983145201</v>
      </c>
      <c r="K8" s="48">
        <f>cothr!$AA8*FCT!L8</f>
        <v>0.22849312081118575</v>
      </c>
      <c r="L8" s="48">
        <f>cothr!$AA8*FCT!M8</f>
        <v>0</v>
      </c>
      <c r="M8" s="48">
        <f>cothr!$AA8*FCT!N8</f>
        <v>6.0018930351325297</v>
      </c>
      <c r="N8" s="48">
        <f>cothr!$AA8*FCT!O8</f>
        <v>0.24744646723792008</v>
      </c>
      <c r="O8" s="48">
        <f>cothr!$AA8*FCT!P8</f>
        <v>8.5816540765491425</v>
      </c>
      <c r="P8" s="48">
        <f>cothr!$AA8*FCT!Q8</f>
        <v>15.267973510424856</v>
      </c>
      <c r="Q8" s="48">
        <f>cothr!$AA8*FCT!R8</f>
        <v>35.80076547272035</v>
      </c>
      <c r="R8" s="48">
        <f>cothr!$AA8*FCT!S8</f>
        <v>3.5800765472720354E-2</v>
      </c>
      <c r="S8" s="48">
        <f>cothr!$AA8*FCT!T8</f>
        <v>0</v>
      </c>
      <c r="T8" s="48">
        <f>cothr!$AA8*FCT!U8</f>
        <v>0</v>
      </c>
      <c r="U8" s="48">
        <f>cothr!$AA8*FCT!V8</f>
        <v>0.12898805207083069</v>
      </c>
      <c r="V8" s="48">
        <f>cothr!$AA8*FCT!W8</f>
        <v>0</v>
      </c>
      <c r="W8" s="48">
        <f>cothr!$AA8*FCT!X8</f>
        <v>0.3316835624678503</v>
      </c>
      <c r="X8" s="48">
        <f>cothr!$AA8*FCT!Y8</f>
        <v>3.3852782645528212E-2</v>
      </c>
      <c r="Y8" s="48">
        <f>cothr!$AA8*FCT!Z8</f>
        <v>5.9492448506138235E-3</v>
      </c>
      <c r="Z8" s="48">
        <f>cothr!$AA8*FCT!AA8</f>
        <v>9.4766732133671525E-2</v>
      </c>
      <c r="AA8" s="48">
        <f>cothr!$AA8*FCT!AB8</f>
        <v>2.9640927884031699E-2</v>
      </c>
      <c r="AB8" s="48">
        <f>cothr!$AA8*FCT!AC8</f>
        <v>5.9492448506138231</v>
      </c>
      <c r="AC8" s="48">
        <f>cothr!$AA8*FCT!AD8</f>
        <v>0</v>
      </c>
      <c r="AD8" s="48">
        <f>cothr!$AA8*FCT!AE8</f>
        <v>5.2648184518706398E-2</v>
      </c>
      <c r="AE8" s="48">
        <f>cothr!$AA8*FCT!AF8</f>
        <v>1.052963690374128</v>
      </c>
      <c r="AF8" s="48">
        <f>cothr!$AA8*FCT!AG8</f>
        <v>0.79130221331615713</v>
      </c>
      <c r="AG8" s="48">
        <f>cothr!$AA8*FCT!AH8</f>
        <v>0</v>
      </c>
      <c r="AH8" s="48">
        <f>cothr!$AA8*FCT!AI8</f>
        <v>0</v>
      </c>
      <c r="AI8" s="48">
        <f>cothr!$AA8*FCT!AJ8</f>
        <v>0.74760422016563077</v>
      </c>
      <c r="AJ8" s="48">
        <f>cothr!$AA8*FCT!AK8</f>
        <v>0</v>
      </c>
      <c r="AK8" s="48">
        <f>cothr!$AA8*FCT!AL8</f>
        <v>0.23502149569150538</v>
      </c>
      <c r="AL8" s="48">
        <f>cothr!$AA8*FCT!AM8</f>
        <v>2.4034949196479847</v>
      </c>
      <c r="AM8" s="48">
        <f>cothr!$AA8*FCT!AN8</f>
        <v>0.41697362138815469</v>
      </c>
      <c r="AN8" s="48">
        <f>cothr!$AA8*FCT!AO8</f>
        <v>0</v>
      </c>
      <c r="AO8" s="48">
        <f>cothr!$AA8*FCT!AP8</f>
        <v>0</v>
      </c>
      <c r="AP8" s="48">
        <f>cothr!$AA8*FCT!AQ8</f>
        <v>0</v>
      </c>
      <c r="AQ8" s="48">
        <f>cothr!$AA8*FCT!AR8</f>
        <v>0</v>
      </c>
    </row>
    <row r="9" spans="1:43" x14ac:dyDescent="0.2">
      <c r="A9">
        <f>FCT!B9</f>
        <v>0</v>
      </c>
      <c r="B9" s="48">
        <f>cothr!AA9*FCT!C9</f>
        <v>0</v>
      </c>
      <c r="C9">
        <f>FCT!D9</f>
        <v>0</v>
      </c>
      <c r="D9" s="48">
        <f>cothr!$AA9*FCT!E9</f>
        <v>0</v>
      </c>
      <c r="E9" s="48">
        <f>cothr!$AA9*FCT!F9</f>
        <v>0</v>
      </c>
      <c r="F9" s="48">
        <f>cothr!$AA9*FCT!G9</f>
        <v>0</v>
      </c>
      <c r="G9" s="48">
        <f>cothr!$AA9*FCT!H9</f>
        <v>0</v>
      </c>
      <c r="H9" s="48">
        <f>cothr!$AA9*FCT!I9</f>
        <v>0</v>
      </c>
      <c r="I9" s="48">
        <f>cothr!$AA9*FCT!J9</f>
        <v>0</v>
      </c>
      <c r="J9" s="48">
        <f>cothr!$AA9*FCT!K9</f>
        <v>0</v>
      </c>
      <c r="K9" s="48">
        <f>cothr!$AA9*FCT!L9</f>
        <v>0</v>
      </c>
      <c r="L9" s="48">
        <f>cothr!$AA9*FCT!M9</f>
        <v>0</v>
      </c>
      <c r="M9" s="48">
        <f>cothr!$AA9*FCT!N9</f>
        <v>0</v>
      </c>
      <c r="N9" s="48">
        <f>cothr!$AA9*FCT!O9</f>
        <v>0</v>
      </c>
      <c r="O9" s="48">
        <f>cothr!$AA9*FCT!P9</f>
        <v>0</v>
      </c>
      <c r="P9" s="48">
        <f>cothr!$AA9*FCT!Q9</f>
        <v>0</v>
      </c>
      <c r="Q9" s="48">
        <f>cothr!$AA9*FCT!R9</f>
        <v>0</v>
      </c>
      <c r="R9" s="48">
        <f>cothr!$AA9*FCT!S9</f>
        <v>0</v>
      </c>
      <c r="S9" s="48">
        <f>cothr!$AA9*FCT!T9</f>
        <v>0</v>
      </c>
      <c r="T9" s="48">
        <f>cothr!$AA9*FCT!U9</f>
        <v>0</v>
      </c>
      <c r="U9" s="48">
        <f>cothr!$AA9*FCT!V9</f>
        <v>0</v>
      </c>
      <c r="V9" s="48">
        <f>cothr!$AA9*FCT!W9</f>
        <v>0</v>
      </c>
      <c r="W9" s="48">
        <f>cothr!$AA9*FCT!X9</f>
        <v>0</v>
      </c>
      <c r="X9" s="48">
        <f>cothr!$AA9*FCT!Y9</f>
        <v>0</v>
      </c>
      <c r="Y9" s="48">
        <f>cothr!$AA9*FCT!Z9</f>
        <v>0</v>
      </c>
      <c r="Z9" s="48">
        <f>cothr!$AA9*FCT!AA9</f>
        <v>0</v>
      </c>
      <c r="AA9" s="48">
        <f>cothr!$AA9*FCT!AB9</f>
        <v>0</v>
      </c>
      <c r="AB9" s="48">
        <f>cothr!$AA9*FCT!AC9</f>
        <v>0</v>
      </c>
      <c r="AC9" s="48">
        <f>cothr!$AA9*FCT!AD9</f>
        <v>0</v>
      </c>
      <c r="AD9" s="48">
        <f>cothr!$AA9*FCT!AE9</f>
        <v>0</v>
      </c>
      <c r="AE9" s="48">
        <f>cothr!$AA9*FCT!AF9</f>
        <v>0</v>
      </c>
      <c r="AF9" s="48">
        <f>cothr!$AA9*FCT!AG9</f>
        <v>0</v>
      </c>
      <c r="AG9" s="48">
        <f>cothr!$AA9*FCT!AH9</f>
        <v>0</v>
      </c>
      <c r="AH9" s="48">
        <f>cothr!$AA9*FCT!AI9</f>
        <v>0</v>
      </c>
      <c r="AI9" s="48">
        <f>cothr!$AA9*FCT!AJ9</f>
        <v>0</v>
      </c>
      <c r="AJ9" s="48">
        <f>cothr!$AA9*FCT!AK9</f>
        <v>0</v>
      </c>
      <c r="AK9" s="48">
        <f>cothr!$AA9*FCT!AL9</f>
        <v>0</v>
      </c>
      <c r="AL9" s="48">
        <f>cothr!$AA9*FCT!AM9</f>
        <v>0</v>
      </c>
      <c r="AM9" s="48">
        <f>cothr!$AA9*FCT!AN9</f>
        <v>0</v>
      </c>
      <c r="AN9" s="48">
        <f>cothr!$AA9*FCT!AO9</f>
        <v>0</v>
      </c>
      <c r="AO9" s="48">
        <f>cothr!$AA9*FCT!AP9</f>
        <v>0</v>
      </c>
      <c r="AP9" s="48">
        <f>cothr!$AA9*FCT!AQ9</f>
        <v>0</v>
      </c>
      <c r="AQ9" s="48">
        <f>cothr!$AA9*FCT!AR9</f>
        <v>0</v>
      </c>
    </row>
    <row r="10" spans="1:43" s="50" customFormat="1" x14ac:dyDescent="0.2">
      <c r="A10" s="50" t="s">
        <v>98</v>
      </c>
      <c r="B10" s="49">
        <f>SUM(B2:B9)</f>
        <v>42.223327098045615</v>
      </c>
      <c r="E10" s="49">
        <f>SUM(E2:E9)</f>
        <v>10.639812831450318</v>
      </c>
      <c r="F10" s="49">
        <f t="shared" ref="F10:AQ10" si="0">SUM(F2:F9)</f>
        <v>540.57390517583895</v>
      </c>
      <c r="G10" s="49">
        <f t="shared" si="0"/>
        <v>15.906618924886978</v>
      </c>
      <c r="H10" s="49">
        <f t="shared" si="0"/>
        <v>45.537996622056127</v>
      </c>
      <c r="I10" s="49">
        <f t="shared" si="0"/>
        <v>25.634511949029129</v>
      </c>
      <c r="J10" s="49">
        <f t="shared" si="0"/>
        <v>7.4866707112098183</v>
      </c>
      <c r="K10" s="49">
        <f t="shared" si="0"/>
        <v>4.015825214054682</v>
      </c>
      <c r="L10" s="49">
        <f t="shared" si="0"/>
        <v>0</v>
      </c>
      <c r="M10" s="49">
        <f t="shared" si="0"/>
        <v>107.42619584014683</v>
      </c>
      <c r="N10" s="49">
        <f t="shared" si="0"/>
        <v>4.1068971813782555</v>
      </c>
      <c r="O10" s="49">
        <f t="shared" si="0"/>
        <v>204.17352908805461</v>
      </c>
      <c r="P10" s="49">
        <f t="shared" si="0"/>
        <v>423.01220483444104</v>
      </c>
      <c r="Q10" s="49">
        <f t="shared" si="0"/>
        <v>629.19144510668991</v>
      </c>
      <c r="R10" s="49">
        <f t="shared" si="0"/>
        <v>0.6291914451066899</v>
      </c>
      <c r="S10" s="49">
        <f t="shared" si="0"/>
        <v>4.7782990046896439</v>
      </c>
      <c r="T10" s="49">
        <f t="shared" si="0"/>
        <v>4.7782990046896434E-3</v>
      </c>
      <c r="U10" s="49">
        <f t="shared" si="0"/>
        <v>3.473818570456717</v>
      </c>
      <c r="V10" s="49">
        <f t="shared" si="0"/>
        <v>0</v>
      </c>
      <c r="W10" s="49">
        <f t="shared" si="0"/>
        <v>7.0016872667708414</v>
      </c>
      <c r="X10" s="49">
        <f t="shared" si="0"/>
        <v>0.37430013947955915</v>
      </c>
      <c r="Y10" s="49">
        <f t="shared" si="0"/>
        <v>0.32895872880376359</v>
      </c>
      <c r="Z10" s="49">
        <f t="shared" si="0"/>
        <v>1.6743656562999347</v>
      </c>
      <c r="AA10" s="49">
        <f t="shared" si="0"/>
        <v>0.46609211159694813</v>
      </c>
      <c r="AB10" s="49">
        <f t="shared" si="0"/>
        <v>57.102052775144585</v>
      </c>
      <c r="AC10" s="49">
        <f t="shared" si="0"/>
        <v>0</v>
      </c>
      <c r="AD10" s="49">
        <f t="shared" si="0"/>
        <v>2.0450547914311765</v>
      </c>
      <c r="AE10" s="49">
        <f t="shared" si="0"/>
        <v>42.15986226551901</v>
      </c>
      <c r="AF10" s="49">
        <f t="shared" si="0"/>
        <v>6.8000723941191499</v>
      </c>
      <c r="AG10" s="49">
        <f t="shared" si="0"/>
        <v>0</v>
      </c>
      <c r="AH10" s="49">
        <f t="shared" si="0"/>
        <v>0</v>
      </c>
      <c r="AI10" s="49">
        <f t="shared" si="0"/>
        <v>11.638484635106122</v>
      </c>
      <c r="AJ10" s="49">
        <f t="shared" si="0"/>
        <v>0</v>
      </c>
      <c r="AK10" s="49">
        <f t="shared" si="0"/>
        <v>5.3369843950895302</v>
      </c>
      <c r="AL10" s="49">
        <f t="shared" si="0"/>
        <v>19.964261830963025</v>
      </c>
      <c r="AM10" s="49">
        <f t="shared" si="0"/>
        <v>17.451191162661313</v>
      </c>
      <c r="AN10" s="49">
        <f t="shared" si="0"/>
        <v>3.1336659951443826E-3</v>
      </c>
      <c r="AO10" s="49">
        <f t="shared" si="0"/>
        <v>0</v>
      </c>
      <c r="AP10" s="49">
        <f t="shared" si="0"/>
        <v>0</v>
      </c>
      <c r="AQ10" s="49">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cothr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2015-12-16T03:03:54Z</dcterms:created>
  <dcterms:modified xsi:type="dcterms:W3CDTF">2016-06-18T23:52:29Z</dcterms:modified>
</cp:coreProperties>
</file>