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akerintl-my.sharepoint.com/personal/ali_salimi_mbakerintl_com/Documents/Documents/189151_Pelican_Island_Bridge/scour/Pelican-Island-Wave-Load/Scour/"/>
    </mc:Choice>
  </mc:AlternateContent>
  <xr:revisionPtr revIDLastSave="92" documentId="13_ncr:1_{ED1CA321-F10F-4538-98E0-555A1EB4DDF5}" xr6:coauthVersionLast="47" xr6:coauthVersionMax="47" xr10:uidLastSave="{46550F72-CC06-4D0B-8087-0DDF5D519B97}"/>
  <bookViews>
    <workbookView xWindow="-108" yWindow="-108" windowWidth="23256" windowHeight="12576" activeTab="2" xr2:uid="{83EC3F39-3659-4A21-ADC1-FE9CB8CF9D34}"/>
  </bookViews>
  <sheets>
    <sheet name="200-year-scour" sheetId="7" r:id="rId1"/>
    <sheet name="Contraction-receding surge" sheetId="11" r:id="rId2"/>
    <sheet name="Sheet1" sheetId="9" r:id="rId3"/>
    <sheet name="dont use-Contraction-surge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2" l="1"/>
  <c r="B21" i="12" s="1"/>
  <c r="B15" i="12"/>
  <c r="B14" i="12" s="1"/>
  <c r="B12" i="12"/>
  <c r="B19" i="11"/>
  <c r="B21" i="11" s="1"/>
  <c r="B15" i="11"/>
  <c r="B14" i="11"/>
  <c r="B12" i="11"/>
  <c r="B23" i="12" l="1"/>
  <c r="B22" i="12"/>
  <c r="B24" i="12" s="1"/>
  <c r="B26" i="12" s="1"/>
  <c r="B5" i="12" s="1"/>
  <c r="B28" i="12" s="1"/>
  <c r="B22" i="11"/>
  <c r="B23" i="11"/>
  <c r="B24" i="11" l="1"/>
  <c r="B26" i="11" s="1"/>
  <c r="B5" i="11" s="1"/>
  <c r="B28" i="11" s="1"/>
  <c r="Q19" i="7" l="1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L19" i="7"/>
  <c r="O19" i="7" s="1"/>
  <c r="N46" i="7"/>
  <c r="N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Y38" i="7" s="1"/>
  <c r="X39" i="7"/>
  <c r="X40" i="7"/>
  <c r="X41" i="7"/>
  <c r="X42" i="7"/>
  <c r="X43" i="7"/>
  <c r="X44" i="7"/>
  <c r="X45" i="7"/>
  <c r="X46" i="7"/>
  <c r="X19" i="7"/>
  <c r="AO20" i="7"/>
  <c r="AO21" i="7"/>
  <c r="AO22" i="7"/>
  <c r="AO23" i="7"/>
  <c r="AO24" i="7"/>
  <c r="AO25" i="7"/>
  <c r="AO26" i="7"/>
  <c r="AO27" i="7"/>
  <c r="AO28" i="7"/>
  <c r="AO29" i="7"/>
  <c r="AO30" i="7"/>
  <c r="AO31" i="7"/>
  <c r="AO32" i="7"/>
  <c r="AO33" i="7"/>
  <c r="AO34" i="7"/>
  <c r="AO35" i="7"/>
  <c r="AO36" i="7"/>
  <c r="AO37" i="7"/>
  <c r="AO38" i="7"/>
  <c r="AO39" i="7"/>
  <c r="AO40" i="7"/>
  <c r="AO41" i="7"/>
  <c r="AO42" i="7"/>
  <c r="AO43" i="7"/>
  <c r="AO44" i="7"/>
  <c r="AO45" i="7"/>
  <c r="AO46" i="7"/>
  <c r="AO19" i="7"/>
  <c r="AD20" i="7"/>
  <c r="AD21" i="7"/>
  <c r="AD22" i="7"/>
  <c r="AF22" i="7" s="1"/>
  <c r="AD23" i="7"/>
  <c r="AF23" i="7" s="1"/>
  <c r="AD24" i="7"/>
  <c r="AF24" i="7" s="1"/>
  <c r="AD25" i="7"/>
  <c r="AD26" i="7"/>
  <c r="AF26" i="7" s="1"/>
  <c r="AD27" i="7"/>
  <c r="AF27" i="7" s="1"/>
  <c r="AD28" i="7"/>
  <c r="AF28" i="7" s="1"/>
  <c r="AD29" i="7"/>
  <c r="AF29" i="7" s="1"/>
  <c r="AD30" i="7"/>
  <c r="AF30" i="7" s="1"/>
  <c r="AD31" i="7"/>
  <c r="AF31" i="7" s="1"/>
  <c r="AD32" i="7"/>
  <c r="AF32" i="7" s="1"/>
  <c r="AD33" i="7"/>
  <c r="AF33" i="7" s="1"/>
  <c r="AD34" i="7"/>
  <c r="AF34" i="7" s="1"/>
  <c r="AD35" i="7"/>
  <c r="AF35" i="7" s="1"/>
  <c r="AD36" i="7"/>
  <c r="AF36" i="7" s="1"/>
  <c r="AD37" i="7"/>
  <c r="AD38" i="7"/>
  <c r="AF38" i="7" s="1"/>
  <c r="AD39" i="7"/>
  <c r="AD40" i="7"/>
  <c r="AF40" i="7" s="1"/>
  <c r="AD41" i="7"/>
  <c r="AF41" i="7" s="1"/>
  <c r="AD42" i="7"/>
  <c r="AF42" i="7" s="1"/>
  <c r="AD43" i="7"/>
  <c r="AD44" i="7"/>
  <c r="AD45" i="7"/>
  <c r="AF45" i="7" s="1"/>
  <c r="AD46" i="7"/>
  <c r="AF46" i="7" s="1"/>
  <c r="AD19" i="7"/>
  <c r="AF19" i="7" s="1"/>
  <c r="Y22" i="7"/>
  <c r="Y44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19" i="7"/>
  <c r="AF20" i="7"/>
  <c r="AF21" i="7"/>
  <c r="AF25" i="7"/>
  <c r="AF39" i="7"/>
  <c r="AF44" i="7"/>
  <c r="AG21" i="7"/>
  <c r="AG20" i="7"/>
  <c r="AG19" i="7"/>
  <c r="AR20" i="7"/>
  <c r="AR21" i="7"/>
  <c r="AR22" i="7"/>
  <c r="AR23" i="7"/>
  <c r="AR24" i="7"/>
  <c r="AR25" i="7"/>
  <c r="AR26" i="7"/>
  <c r="AR27" i="7"/>
  <c r="AR28" i="7"/>
  <c r="AR29" i="7"/>
  <c r="AR30" i="7"/>
  <c r="AR31" i="7"/>
  <c r="AR32" i="7"/>
  <c r="AR33" i="7"/>
  <c r="AR34" i="7"/>
  <c r="AR35" i="7"/>
  <c r="AR36" i="7"/>
  <c r="AR37" i="7"/>
  <c r="AR38" i="7"/>
  <c r="AR39" i="7"/>
  <c r="AR40" i="7"/>
  <c r="AR41" i="7"/>
  <c r="AR42" i="7"/>
  <c r="AR43" i="7"/>
  <c r="AR44" i="7"/>
  <c r="AR45" i="7"/>
  <c r="AR46" i="7"/>
  <c r="AR19" i="7"/>
  <c r="AG22" i="7"/>
  <c r="AG23" i="7"/>
  <c r="AG24" i="7"/>
  <c r="AG25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F43" i="7"/>
  <c r="N42" i="7"/>
  <c r="N45" i="7"/>
  <c r="N20" i="7"/>
  <c r="N21" i="7"/>
  <c r="N22" i="7"/>
  <c r="N23" i="7"/>
  <c r="N24" i="7"/>
  <c r="N25" i="7"/>
  <c r="N26" i="7"/>
  <c r="N27" i="7"/>
  <c r="L27" i="7" s="1"/>
  <c r="O27" i="7" s="1"/>
  <c r="N28" i="7"/>
  <c r="L28" i="7" s="1"/>
  <c r="O28" i="7" s="1"/>
  <c r="N29" i="7"/>
  <c r="N30" i="7"/>
  <c r="L30" i="7" s="1"/>
  <c r="O30" i="7" s="1"/>
  <c r="N31" i="7"/>
  <c r="N32" i="7"/>
  <c r="L32" i="7" s="1"/>
  <c r="O32" i="7" s="1"/>
  <c r="N33" i="7"/>
  <c r="N34" i="7"/>
  <c r="N35" i="7"/>
  <c r="L35" i="7" s="1"/>
  <c r="O35" i="7" s="1"/>
  <c r="N36" i="7"/>
  <c r="N37" i="7"/>
  <c r="N38" i="7"/>
  <c r="N39" i="7"/>
  <c r="N40" i="7"/>
  <c r="N41" i="7"/>
  <c r="N43" i="7"/>
  <c r="N44" i="7"/>
  <c r="L26" i="7" l="1"/>
  <c r="O26" i="7" s="1"/>
  <c r="L41" i="7"/>
  <c r="O41" i="7" s="1"/>
  <c r="L40" i="7"/>
  <c r="O40" i="7" s="1"/>
  <c r="L39" i="7"/>
  <c r="O39" i="7" s="1"/>
  <c r="L23" i="7"/>
  <c r="O23" i="7" s="1"/>
  <c r="L38" i="7"/>
  <c r="O38" i="7" s="1"/>
  <c r="L22" i="7"/>
  <c r="O22" i="7" s="1"/>
  <c r="L37" i="7"/>
  <c r="O37" i="7" s="1"/>
  <c r="L21" i="7"/>
  <c r="O21" i="7" s="1"/>
  <c r="L36" i="7"/>
  <c r="O36" i="7" s="1"/>
  <c r="L42" i="7"/>
  <c r="O42" i="7" s="1"/>
  <c r="L31" i="7"/>
  <c r="O31" i="7" s="1"/>
  <c r="L29" i="7"/>
  <c r="O29" i="7" s="1"/>
  <c r="L25" i="7"/>
  <c r="O25" i="7" s="1"/>
  <c r="L24" i="7"/>
  <c r="O24" i="7" s="1"/>
  <c r="L34" i="7"/>
  <c r="O34" i="7" s="1"/>
  <c r="L43" i="7"/>
  <c r="O43" i="7" s="1"/>
  <c r="R19" i="7"/>
  <c r="Y41" i="7"/>
  <c r="Y25" i="7"/>
  <c r="Y29" i="7"/>
  <c r="Y43" i="7"/>
  <c r="Y40" i="7"/>
  <c r="Y24" i="7"/>
  <c r="L45" i="7"/>
  <c r="O45" i="7" s="1"/>
  <c r="L33" i="7"/>
  <c r="AH19" i="7"/>
  <c r="Y28" i="7"/>
  <c r="Y27" i="7"/>
  <c r="Y42" i="7"/>
  <c r="Y26" i="7"/>
  <c r="L44" i="7"/>
  <c r="O44" i="7" s="1"/>
  <c r="Y39" i="7"/>
  <c r="Y23" i="7"/>
  <c r="L20" i="7"/>
  <c r="O20" i="7" s="1"/>
  <c r="Y37" i="7"/>
  <c r="Y21" i="7"/>
  <c r="Y36" i="7"/>
  <c r="Y20" i="7"/>
  <c r="AH33" i="7"/>
  <c r="Y32" i="7"/>
  <c r="Y46" i="7"/>
  <c r="Y30" i="7"/>
  <c r="Y45" i="7"/>
  <c r="Y34" i="7"/>
  <c r="Y33" i="7"/>
  <c r="Y35" i="7"/>
  <c r="Y31" i="7"/>
  <c r="Y19" i="7"/>
  <c r="AH31" i="7"/>
  <c r="AH28" i="7"/>
  <c r="AH41" i="7"/>
  <c r="AH43" i="7"/>
  <c r="AH27" i="7"/>
  <c r="AH42" i="7"/>
  <c r="AH21" i="7"/>
  <c r="AH35" i="7"/>
  <c r="AH39" i="7"/>
  <c r="AH32" i="7"/>
  <c r="AH46" i="7"/>
  <c r="AH45" i="7"/>
  <c r="AH34" i="7"/>
  <c r="AH25" i="7"/>
  <c r="AH44" i="7"/>
  <c r="AH26" i="7"/>
  <c r="AH30" i="7"/>
  <c r="AH40" i="7"/>
  <c r="AH24" i="7"/>
  <c r="AH23" i="7"/>
  <c r="AH38" i="7"/>
  <c r="AH22" i="7"/>
  <c r="AH29" i="7"/>
  <c r="AH20" i="7"/>
  <c r="AF37" i="7"/>
  <c r="AH37" i="7" s="1"/>
  <c r="AH36" i="7"/>
  <c r="R30" i="7"/>
  <c r="T30" i="7" s="1"/>
  <c r="R31" i="7"/>
  <c r="T31" i="7" s="1"/>
  <c r="R32" i="7"/>
  <c r="T32" i="7" s="1"/>
  <c r="R35" i="7"/>
  <c r="T35" i="7" s="1"/>
  <c r="R37" i="7"/>
  <c r="T37" i="7" s="1"/>
  <c r="R39" i="7"/>
  <c r="T39" i="7" s="1"/>
  <c r="R34" i="7" l="1"/>
  <c r="T34" i="7" s="1"/>
  <c r="R41" i="7"/>
  <c r="T41" i="7" s="1"/>
  <c r="V41" i="7" s="1"/>
  <c r="R29" i="7"/>
  <c r="T29" i="7" s="1"/>
  <c r="R23" i="7"/>
  <c r="T23" i="7" s="1"/>
  <c r="V23" i="7" s="1"/>
  <c r="R22" i="7"/>
  <c r="T22" i="7" s="1"/>
  <c r="V22" i="7" s="1"/>
  <c r="R25" i="7"/>
  <c r="T25" i="7" s="1"/>
  <c r="V25" i="7" s="1"/>
  <c r="R43" i="7"/>
  <c r="T43" i="7" s="1"/>
  <c r="V43" i="7" s="1"/>
  <c r="R33" i="7"/>
  <c r="T33" i="7" s="1"/>
  <c r="O33" i="7"/>
  <c r="R44" i="7"/>
  <c r="T44" i="7" s="1"/>
  <c r="V44" i="7" s="1"/>
  <c r="R20" i="7"/>
  <c r="T20" i="7" s="1"/>
  <c r="V20" i="7" s="1"/>
  <c r="L46" i="7"/>
  <c r="S19" i="7"/>
  <c r="T19" i="7"/>
  <c r="R21" i="7"/>
  <c r="T21" i="7" s="1"/>
  <c r="R45" i="7"/>
  <c r="T45" i="7" s="1"/>
  <c r="R42" i="7"/>
  <c r="T42" i="7" s="1"/>
  <c r="S39" i="7"/>
  <c r="V37" i="7"/>
  <c r="S37" i="7"/>
  <c r="S32" i="7"/>
  <c r="V32" i="7"/>
  <c r="V31" i="7"/>
  <c r="S41" i="7"/>
  <c r="V35" i="7"/>
  <c r="V30" i="7"/>
  <c r="R40" i="7"/>
  <c r="T40" i="7" s="1"/>
  <c r="R28" i="7"/>
  <c r="T28" i="7" s="1"/>
  <c r="R38" i="7"/>
  <c r="T38" i="7" s="1"/>
  <c r="R26" i="7"/>
  <c r="T26" i="7" s="1"/>
  <c r="R36" i="7"/>
  <c r="T36" i="7" s="1"/>
  <c r="V29" i="7"/>
  <c r="R24" i="7"/>
  <c r="T24" i="7" s="1"/>
  <c r="V34" i="7"/>
  <c r="V39" i="7"/>
  <c r="R27" i="7"/>
  <c r="T27" i="7" s="1"/>
  <c r="S43" i="7" l="1"/>
  <c r="V33" i="7"/>
  <c r="S25" i="7"/>
  <c r="Z25" i="7" s="1"/>
  <c r="P25" i="7" s="1"/>
  <c r="S33" i="7"/>
  <c r="S44" i="7"/>
  <c r="Z44" i="7" s="1"/>
  <c r="P44" i="7" s="1"/>
  <c r="T46" i="7"/>
  <c r="O46" i="7"/>
  <c r="S20" i="7"/>
  <c r="Z20" i="7" s="1"/>
  <c r="P20" i="7" s="1"/>
  <c r="R46" i="7"/>
  <c r="S46" i="7" s="1"/>
  <c r="Z37" i="7"/>
  <c r="P37" i="7" s="1"/>
  <c r="Z41" i="7"/>
  <c r="P41" i="7" s="1"/>
  <c r="Z43" i="7"/>
  <c r="P43" i="7" s="1"/>
  <c r="Z39" i="7"/>
  <c r="P39" i="7" s="1"/>
  <c r="Z32" i="7"/>
  <c r="P32" i="7" s="1"/>
  <c r="S21" i="7"/>
  <c r="U21" i="7" s="1"/>
  <c r="V45" i="7"/>
  <c r="V21" i="7"/>
  <c r="U19" i="7"/>
  <c r="S45" i="7"/>
  <c r="U45" i="7" s="1"/>
  <c r="V42" i="7"/>
  <c r="S42" i="7"/>
  <c r="U25" i="7"/>
  <c r="V40" i="7"/>
  <c r="U41" i="7"/>
  <c r="V19" i="7"/>
  <c r="Z19" i="7" s="1"/>
  <c r="U39" i="7"/>
  <c r="U43" i="7"/>
  <c r="V36" i="7"/>
  <c r="S22" i="7"/>
  <c r="U22" i="7" s="1"/>
  <c r="S34" i="7"/>
  <c r="U34" i="7" s="1"/>
  <c r="S30" i="7"/>
  <c r="Z30" i="7" s="1"/>
  <c r="P30" i="7" s="1"/>
  <c r="S23" i="7"/>
  <c r="Z23" i="7" s="1"/>
  <c r="P23" i="7" s="1"/>
  <c r="S31" i="7"/>
  <c r="Z31" i="7" s="1"/>
  <c r="P31" i="7" s="1"/>
  <c r="V38" i="7"/>
  <c r="S35" i="7"/>
  <c r="Z35" i="7" s="1"/>
  <c r="P35" i="7" s="1"/>
  <c r="S29" i="7"/>
  <c r="U29" i="7" s="1"/>
  <c r="U37" i="7"/>
  <c r="V26" i="7"/>
  <c r="V28" i="7"/>
  <c r="V24" i="7"/>
  <c r="U32" i="7"/>
  <c r="Z33" i="7" l="1"/>
  <c r="P33" i="7" s="1"/>
  <c r="Z21" i="7"/>
  <c r="P21" i="7" s="1"/>
  <c r="V46" i="7"/>
  <c r="Z46" i="7" s="1"/>
  <c r="P46" i="7" s="1"/>
  <c r="U33" i="7"/>
  <c r="U44" i="7"/>
  <c r="U46" i="7"/>
  <c r="AM19" i="7"/>
  <c r="P19" i="7"/>
  <c r="AA19" i="7"/>
  <c r="AI19" i="7"/>
  <c r="Z42" i="7"/>
  <c r="P42" i="7" s="1"/>
  <c r="Z34" i="7"/>
  <c r="P34" i="7" s="1"/>
  <c r="Z45" i="7"/>
  <c r="P45" i="7" s="1"/>
  <c r="Z22" i="7"/>
  <c r="P22" i="7" s="1"/>
  <c r="Z29" i="7"/>
  <c r="P29" i="7" s="1"/>
  <c r="AA43" i="7"/>
  <c r="U20" i="7"/>
  <c r="AI41" i="7"/>
  <c r="S27" i="7"/>
  <c r="U42" i="7"/>
  <c r="V27" i="7"/>
  <c r="U23" i="7"/>
  <c r="U30" i="7"/>
  <c r="U31" i="7"/>
  <c r="U35" i="7"/>
  <c r="S36" i="7"/>
  <c r="Z36" i="7" s="1"/>
  <c r="P36" i="7" s="1"/>
  <c r="S38" i="7"/>
  <c r="Z38" i="7" s="1"/>
  <c r="P38" i="7" s="1"/>
  <c r="S24" i="7"/>
  <c r="Z24" i="7" s="1"/>
  <c r="P24" i="7" s="1"/>
  <c r="S26" i="7"/>
  <c r="Z26" i="7" s="1"/>
  <c r="P26" i="7" s="1"/>
  <c r="S40" i="7"/>
  <c r="Z40" i="7" s="1"/>
  <c r="P40" i="7" s="1"/>
  <c r="S28" i="7"/>
  <c r="Z28" i="7" s="1"/>
  <c r="P28" i="7" s="1"/>
  <c r="AI21" i="7" l="1"/>
  <c r="AK21" i="7" s="1"/>
  <c r="AI46" i="7"/>
  <c r="AK46" i="7" s="1"/>
  <c r="AM46" i="7"/>
  <c r="AS46" i="7" s="1"/>
  <c r="AA46" i="7"/>
  <c r="AJ46" i="7" s="1"/>
  <c r="AJ19" i="7"/>
  <c r="AS19" i="7"/>
  <c r="AN19" i="7"/>
  <c r="Z27" i="7"/>
  <c r="P27" i="7" s="1"/>
  <c r="AI45" i="7"/>
  <c r="AA45" i="7"/>
  <c r="AK41" i="7"/>
  <c r="AA41" i="7"/>
  <c r="AI44" i="7"/>
  <c r="AK44" i="7" s="1"/>
  <c r="AI43" i="7"/>
  <c r="AA44" i="7"/>
  <c r="AA21" i="7"/>
  <c r="AA29" i="7"/>
  <c r="AA22" i="7"/>
  <c r="AI39" i="7"/>
  <c r="AA34" i="7"/>
  <c r="AI29" i="7"/>
  <c r="U36" i="7"/>
  <c r="U27" i="7"/>
  <c r="AA31" i="7"/>
  <c r="AI25" i="7"/>
  <c r="AA25" i="7"/>
  <c r="U26" i="7"/>
  <c r="U24" i="7"/>
  <c r="U28" i="7"/>
  <c r="U38" i="7"/>
  <c r="AI34" i="7"/>
  <c r="AI33" i="7"/>
  <c r="U40" i="7"/>
  <c r="AA39" i="7"/>
  <c r="AA20" i="7"/>
  <c r="AI20" i="7"/>
  <c r="AK20" i="7" s="1"/>
  <c r="AI37" i="7"/>
  <c r="AA37" i="7"/>
  <c r="AA32" i="7"/>
  <c r="AI32" i="7"/>
  <c r="AA33" i="7"/>
  <c r="AK19" i="7"/>
  <c r="AI22" i="7"/>
  <c r="AJ43" i="7"/>
  <c r="AN46" i="7" l="1"/>
  <c r="AT46" i="7" s="1"/>
  <c r="AV46" i="7" s="1"/>
  <c r="AL46" i="7"/>
  <c r="AL19" i="7"/>
  <c r="AJ29" i="7"/>
  <c r="AJ25" i="7"/>
  <c r="AJ41" i="7"/>
  <c r="AL41" i="7" s="1"/>
  <c r="AJ34" i="7"/>
  <c r="AJ20" i="7"/>
  <c r="AL20" i="7" s="1"/>
  <c r="AM20" i="7" s="1"/>
  <c r="AJ39" i="7"/>
  <c r="AJ22" i="7"/>
  <c r="AJ21" i="7"/>
  <c r="AL21" i="7" s="1"/>
  <c r="AJ44" i="7"/>
  <c r="AL44" i="7" s="1"/>
  <c r="AM44" i="7" s="1"/>
  <c r="AN44" i="7" s="1"/>
  <c r="AJ32" i="7"/>
  <c r="AJ37" i="7"/>
  <c r="AT19" i="7"/>
  <c r="AK43" i="7"/>
  <c r="AL43" i="7" s="1"/>
  <c r="AK45" i="7"/>
  <c r="AJ45" i="7"/>
  <c r="AI42" i="7"/>
  <c r="AK42" i="7" s="1"/>
  <c r="AA42" i="7"/>
  <c r="AI27" i="7"/>
  <c r="AI40" i="7"/>
  <c r="AI38" i="7"/>
  <c r="AA36" i="7"/>
  <c r="AK25" i="7"/>
  <c r="AK39" i="7"/>
  <c r="AL39" i="7" s="1"/>
  <c r="AA23" i="7"/>
  <c r="AK32" i="7"/>
  <c r="AI23" i="7"/>
  <c r="AI31" i="7"/>
  <c r="AK29" i="7"/>
  <c r="AI30" i="7"/>
  <c r="AA30" i="7"/>
  <c r="AI35" i="7"/>
  <c r="AK34" i="7"/>
  <c r="AK33" i="7"/>
  <c r="AA35" i="7"/>
  <c r="AK37" i="7"/>
  <c r="AJ33" i="7"/>
  <c r="AK22" i="7"/>
  <c r="AJ31" i="7"/>
  <c r="AL25" i="7" l="1"/>
  <c r="AM25" i="7" s="1"/>
  <c r="AN25" i="7" s="1"/>
  <c r="AL22" i="7"/>
  <c r="AL33" i="7"/>
  <c r="AL29" i="7"/>
  <c r="AM29" i="7" s="1"/>
  <c r="AN29" i="7" s="1"/>
  <c r="AL32" i="7"/>
  <c r="AM32" i="7" s="1"/>
  <c r="AN32" i="7" s="1"/>
  <c r="AL45" i="7"/>
  <c r="AM45" i="7" s="1"/>
  <c r="AL37" i="7"/>
  <c r="AM37" i="7" s="1"/>
  <c r="AS37" i="7" s="1"/>
  <c r="AL34" i="7"/>
  <c r="AM34" i="7" s="1"/>
  <c r="AN34" i="7" s="1"/>
  <c r="AT34" i="7" s="1"/>
  <c r="AV34" i="7" s="1"/>
  <c r="AJ23" i="7"/>
  <c r="AJ30" i="7"/>
  <c r="AJ35" i="7"/>
  <c r="AJ36" i="7"/>
  <c r="AJ42" i="7"/>
  <c r="AL42" i="7"/>
  <c r="AM42" i="7" s="1"/>
  <c r="AN42" i="7" s="1"/>
  <c r="AT42" i="7" s="1"/>
  <c r="AV42" i="7" s="1"/>
  <c r="AK38" i="7"/>
  <c r="AA40" i="7"/>
  <c r="AK40" i="7"/>
  <c r="AA38" i="7"/>
  <c r="AK27" i="7"/>
  <c r="AA27" i="7"/>
  <c r="AM43" i="7"/>
  <c r="AN43" i="7" s="1"/>
  <c r="AM39" i="7"/>
  <c r="AN39" i="7" s="1"/>
  <c r="AT39" i="7" s="1"/>
  <c r="AV39" i="7" s="1"/>
  <c r="AM41" i="7"/>
  <c r="AN41" i="7" s="1"/>
  <c r="AM21" i="7"/>
  <c r="AN21" i="7" s="1"/>
  <c r="AT21" i="7" s="1"/>
  <c r="AV21" i="7" s="1"/>
  <c r="AN20" i="7"/>
  <c r="AI36" i="7"/>
  <c r="AK31" i="7"/>
  <c r="AL31" i="7" s="1"/>
  <c r="AK35" i="7"/>
  <c r="AL35" i="7" s="1"/>
  <c r="AK23" i="7"/>
  <c r="AI24" i="7"/>
  <c r="AI26" i="7"/>
  <c r="AA26" i="7"/>
  <c r="AI28" i="7"/>
  <c r="AK30" i="7"/>
  <c r="AA28" i="7"/>
  <c r="AA24" i="7"/>
  <c r="AL30" i="7" l="1"/>
  <c r="AM30" i="7" s="1"/>
  <c r="AN30" i="7" s="1"/>
  <c r="AT30" i="7" s="1"/>
  <c r="AV30" i="7" s="1"/>
  <c r="AL23" i="7"/>
  <c r="AM23" i="7" s="1"/>
  <c r="AN23" i="7" s="1"/>
  <c r="AJ38" i="7"/>
  <c r="AL38" i="7" s="1"/>
  <c r="AM38" i="7" s="1"/>
  <c r="AN38" i="7" s="1"/>
  <c r="AT38" i="7" s="1"/>
  <c r="AV38" i="7" s="1"/>
  <c r="AJ28" i="7"/>
  <c r="AJ26" i="7"/>
  <c r="AJ40" i="7"/>
  <c r="AL40" i="7"/>
  <c r="AM40" i="7" s="1"/>
  <c r="AN40" i="7" s="1"/>
  <c r="AT40" i="7" s="1"/>
  <c r="AV40" i="7" s="1"/>
  <c r="AJ24" i="7"/>
  <c r="AJ27" i="7"/>
  <c r="AL27" i="7"/>
  <c r="AM27" i="7" s="1"/>
  <c r="AN27" i="7" s="1"/>
  <c r="AT27" i="7" s="1"/>
  <c r="AV27" i="7" s="1"/>
  <c r="AM31" i="7"/>
  <c r="AS31" i="7" s="1"/>
  <c r="AN45" i="7"/>
  <c r="AT45" i="7" s="1"/>
  <c r="AV45" i="7" s="1"/>
  <c r="AS45" i="7"/>
  <c r="AS42" i="7"/>
  <c r="AN37" i="7"/>
  <c r="AT37" i="7" s="1"/>
  <c r="AV37" i="7" s="1"/>
  <c r="AM33" i="7"/>
  <c r="AN33" i="7" s="1"/>
  <c r="AT33" i="7" s="1"/>
  <c r="AV33" i="7" s="1"/>
  <c r="AM22" i="7"/>
  <c r="AN22" i="7" s="1"/>
  <c r="AT22" i="7" s="1"/>
  <c r="AV22" i="7" s="1"/>
  <c r="AM35" i="7"/>
  <c r="AN35" i="7" s="1"/>
  <c r="AT35" i="7" s="1"/>
  <c r="AV35" i="7" s="1"/>
  <c r="AK36" i="7"/>
  <c r="AL36" i="7" s="1"/>
  <c r="AK26" i="7"/>
  <c r="AK28" i="7"/>
  <c r="AK24" i="7"/>
  <c r="AS21" i="7"/>
  <c r="AT32" i="7"/>
  <c r="AV32" i="7" s="1"/>
  <c r="AS32" i="7"/>
  <c r="AS39" i="7"/>
  <c r="AS34" i="7"/>
  <c r="AS20" i="7"/>
  <c r="AS44" i="7"/>
  <c r="AT44" i="7"/>
  <c r="AV44" i="7" s="1"/>
  <c r="AT43" i="7"/>
  <c r="AV43" i="7" s="1"/>
  <c r="AS43" i="7"/>
  <c r="AT41" i="7"/>
  <c r="AV41" i="7" s="1"/>
  <c r="AS41" i="7"/>
  <c r="AT25" i="7"/>
  <c r="AV25" i="7" s="1"/>
  <c r="AS25" i="7"/>
  <c r="AL26" i="7" l="1"/>
  <c r="AM26" i="7" s="1"/>
  <c r="AS26" i="7" s="1"/>
  <c r="AL24" i="7"/>
  <c r="AM24" i="7" s="1"/>
  <c r="AN24" i="7" s="1"/>
  <c r="AT24" i="7" s="1"/>
  <c r="AV24" i="7" s="1"/>
  <c r="AL28" i="7"/>
  <c r="AM28" i="7" s="1"/>
  <c r="AS28" i="7" s="1"/>
  <c r="AM36" i="7"/>
  <c r="AV19" i="7"/>
  <c r="AS22" i="7"/>
  <c r="AS33" i="7"/>
  <c r="AS38" i="7"/>
  <c r="AS30" i="7"/>
  <c r="AN31" i="7"/>
  <c r="AT31" i="7" s="1"/>
  <c r="AV31" i="7" s="1"/>
  <c r="AT20" i="7"/>
  <c r="AV20" i="7" s="1"/>
  <c r="AS40" i="7"/>
  <c r="AS23" i="7"/>
  <c r="AT29" i="7"/>
  <c r="AV29" i="7" s="1"/>
  <c r="AS29" i="7"/>
  <c r="AS27" i="7"/>
  <c r="AS35" i="7"/>
  <c r="AN36" i="7" l="1"/>
  <c r="AT36" i="7" s="1"/>
  <c r="AV36" i="7" s="1"/>
  <c r="AS36" i="7"/>
  <c r="AS24" i="7"/>
  <c r="AN28" i="7"/>
  <c r="AT28" i="7" s="1"/>
  <c r="AV28" i="7" s="1"/>
  <c r="AN26" i="7"/>
  <c r="AT26" i="7" s="1"/>
  <c r="AV26" i="7" s="1"/>
  <c r="AT23" i="7"/>
  <c r="AV23" i="7" s="1"/>
</calcChain>
</file>

<file path=xl/sharedStrings.xml><?xml version="1.0" encoding="utf-8"?>
<sst xmlns="http://schemas.openxmlformats.org/spreadsheetml/2006/main" count="156" uniqueCount="89">
  <si>
    <t>INPUT DATA</t>
  </si>
  <si>
    <t>Pier Stem</t>
  </si>
  <si>
    <t>K1</t>
  </si>
  <si>
    <t>K3</t>
  </si>
  <si>
    <t>Pile Cap</t>
  </si>
  <si>
    <t>ks</t>
  </si>
  <si>
    <t>mm</t>
  </si>
  <si>
    <t>*revise</t>
  </si>
  <si>
    <t>Pier Group</t>
  </si>
  <si>
    <t>Scour - 200-year</t>
  </si>
  <si>
    <t>Piers</t>
  </si>
  <si>
    <t>Velocity
(ft/s)</t>
  </si>
  <si>
    <t>Angle of Attack (rad)</t>
  </si>
  <si>
    <t>Number of Piers</t>
  </si>
  <si>
    <t>K2</t>
  </si>
  <si>
    <t>T</t>
  </si>
  <si>
    <t>Contraction Scour
(ft)</t>
  </si>
  <si>
    <t>ys,pier
(ft)</t>
  </si>
  <si>
    <t>khpier</t>
  </si>
  <si>
    <t>y2
(ft)</t>
  </si>
  <si>
    <t>V2
(ft/s)</t>
  </si>
  <si>
    <t>yf
(ft)</t>
  </si>
  <si>
    <t>Vf
(ft/s)</t>
  </si>
  <si>
    <t>a*pc</t>
  </si>
  <si>
    <t>Fr</t>
  </si>
  <si>
    <t>Kw</t>
  </si>
  <si>
    <t>ys,pc
(ft)</t>
  </si>
  <si>
    <t>a</t>
  </si>
  <si>
    <t>Ksp</t>
  </si>
  <si>
    <t>Km</t>
  </si>
  <si>
    <t>a*pg</t>
  </si>
  <si>
    <t>y3max</t>
  </si>
  <si>
    <t>V3</t>
  </si>
  <si>
    <t>khpg</t>
  </si>
  <si>
    <t>Pier Scour
(ft)</t>
  </si>
  <si>
    <t>Total Scour
(ft)</t>
  </si>
  <si>
    <t>Case
A or B</t>
  </si>
  <si>
    <t>Natural Ground
(ft) NAVD</t>
  </si>
  <si>
    <t>Scour Elevation
(ft) NAVD</t>
  </si>
  <si>
    <t>d50</t>
  </si>
  <si>
    <t>Water Depth
(ft) NAVD88</t>
  </si>
  <si>
    <t>make sure f is right</t>
  </si>
  <si>
    <t>Live-Bed Contraction Scour</t>
  </si>
  <si>
    <t>General</t>
  </si>
  <si>
    <t>V1</t>
  </si>
  <si>
    <t>ft/s</t>
  </si>
  <si>
    <t>y1</t>
  </si>
  <si>
    <t>ft</t>
  </si>
  <si>
    <t>y2</t>
  </si>
  <si>
    <t>y0</t>
  </si>
  <si>
    <t>Q1</t>
  </si>
  <si>
    <t>cfs</t>
  </si>
  <si>
    <t>Q2</t>
  </si>
  <si>
    <t>W1</t>
  </si>
  <si>
    <t>piers</t>
  </si>
  <si>
    <t>W2</t>
  </si>
  <si>
    <t>Fall Velocity</t>
  </si>
  <si>
    <t>V*</t>
  </si>
  <si>
    <t>m/s</t>
  </si>
  <si>
    <t>t0</t>
  </si>
  <si>
    <t>N/m2</t>
  </si>
  <si>
    <t>S1</t>
  </si>
  <si>
    <t>m/m</t>
  </si>
  <si>
    <t>rho</t>
  </si>
  <si>
    <t>kg/m3</t>
  </si>
  <si>
    <t>Sg</t>
  </si>
  <si>
    <t>v</t>
  </si>
  <si>
    <t>m2/s</t>
  </si>
  <si>
    <t>D50</t>
  </si>
  <si>
    <t>A</t>
  </si>
  <si>
    <t>Contraction Exponent</t>
  </si>
  <si>
    <t>Ahrens (2000)</t>
  </si>
  <si>
    <t>k1</t>
  </si>
  <si>
    <t>Scour</t>
  </si>
  <si>
    <t>f(ft)</t>
  </si>
  <si>
    <t>h0 (ft)</t>
  </si>
  <si>
    <t>apc (ft)</t>
  </si>
  <si>
    <t>T (ft)</t>
  </si>
  <si>
    <t>apier (ft)</t>
  </si>
  <si>
    <t>h1 (ft)</t>
  </si>
  <si>
    <t>h2 (ft)</t>
  </si>
  <si>
    <t>h3 (ft)</t>
  </si>
  <si>
    <t>Vc (ft/s)</t>
  </si>
  <si>
    <t>y3 (ft)</t>
  </si>
  <si>
    <t>a (ft)</t>
  </si>
  <si>
    <t>S (ft)</t>
  </si>
  <si>
    <t xml:space="preserve">m </t>
  </si>
  <si>
    <t>aproj (ft)</t>
  </si>
  <si>
    <t>yspg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</si>
</sst>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2" fontId="0" fillId="3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5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  <xf numFmtId="165" fontId="0" fillId="4" borderId="1" xfId="0" applyNumberFormat="1" applyFill="1" applyBorder="1" applyAlignment="1">
      <alignment vertical="center"/>
    </xf>
    <xf numFmtId="165" fontId="0" fillId="3" borderId="0" xfId="0" applyNumberFormat="1" applyFill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2" fontId="0" fillId="6" borderId="1" xfId="0" applyNumberFormat="1" applyFill="1" applyBorder="1"/>
    <xf numFmtId="11" fontId="0" fillId="3" borderId="1" xfId="0" applyNumberFormat="1" applyFill="1" applyBorder="1"/>
    <xf numFmtId="0" fontId="0" fillId="6" borderId="1" xfId="0" applyFill="1" applyBorder="1"/>
    <xf numFmtId="0" fontId="0" fillId="0" borderId="1" xfId="0" applyBorder="1" applyAlignment="1">
      <alignment horizontal="left" vertical="center"/>
    </xf>
    <xf numFmtId="2" fontId="0" fillId="6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2" fontId="0" fillId="6" borderId="0" xfId="0" applyNumberFormat="1" applyFill="1"/>
    <xf numFmtId="164" fontId="0" fillId="6" borderId="1" xfId="0" applyNumberFormat="1" applyFill="1" applyBorder="1"/>
    <xf numFmtId="166" fontId="0" fillId="6" borderId="1" xfId="0" applyNumberForma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620781</xdr:colOff>
      <xdr:row>0</xdr:row>
      <xdr:rowOff>118443</xdr:rowOff>
    </xdr:from>
    <xdr:to>
      <xdr:col>12</xdr:col>
      <xdr:colOff>281610</xdr:colOff>
      <xdr:row>14</xdr:row>
      <xdr:rowOff>40746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F788F3-91E6-4C84-8EC0-09B946910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020" y="118443"/>
          <a:ext cx="5168764" cy="2241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27</xdr:row>
      <xdr:rowOff>123825</xdr:rowOff>
    </xdr:from>
    <xdr:to>
      <xdr:col>9</xdr:col>
      <xdr:colOff>246888</xdr:colOff>
      <xdr:row>45</xdr:row>
      <xdr:rowOff>48221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ADF75F-6A98-4F5A-97B4-84A2B1A5A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5" y="3848100"/>
          <a:ext cx="4695063" cy="2839046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4</xdr:row>
      <xdr:rowOff>114300</xdr:rowOff>
    </xdr:from>
    <xdr:to>
      <xdr:col>7</xdr:col>
      <xdr:colOff>370533</xdr:colOff>
      <xdr:row>9</xdr:row>
      <xdr:rowOff>153991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7AD07-F7A4-498B-964C-36C851993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0" y="114300"/>
          <a:ext cx="3342333" cy="849316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14</xdr:row>
      <xdr:rowOff>57150</xdr:rowOff>
    </xdr:from>
    <xdr:to>
      <xdr:col>9</xdr:col>
      <xdr:colOff>465670</xdr:colOff>
      <xdr:row>26</xdr:row>
      <xdr:rowOff>10683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68F72B-DCFD-4159-B388-5327B897D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58125" y="1676400"/>
          <a:ext cx="4856695" cy="1896633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2</xdr:row>
      <xdr:rowOff>153591</xdr:rowOff>
    </xdr:from>
    <xdr:to>
      <xdr:col>15</xdr:col>
      <xdr:colOff>408940</xdr:colOff>
      <xdr:row>16</xdr:row>
      <xdr:rowOff>133271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F7F113-50CF-4358-8315-560FABDAA2D9}"/>
            </a:ext>
          </a:extLst>
        </xdr:cNvPr>
        <xdr:cNvPicPr/>
      </xdr:nvPicPr>
      <xdr:blipFill rotWithShape="1">
        <a:blip xmlns:r="http://schemas.openxmlformats.org/officeDocument/2006/relationships" r:embed="rId4"/>
        <a:srcRect t="877" b="1"/>
        <a:stretch/>
      </xdr:blipFill>
      <xdr:spPr bwMode="auto">
        <a:xfrm>
          <a:off x="6255544" y="475060"/>
          <a:ext cx="3321209" cy="222996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10</xdr:col>
      <xdr:colOff>228600</xdr:colOff>
      <xdr:row>19</xdr:row>
      <xdr:rowOff>28575</xdr:rowOff>
    </xdr:from>
    <xdr:to>
      <xdr:col>14</xdr:col>
      <xdr:colOff>577215</xdr:colOff>
      <xdr:row>31</xdr:row>
      <xdr:rowOff>52705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572FB2-3D4B-48AB-A02D-E9AAC8443E20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87350" y="2457450"/>
          <a:ext cx="2787015" cy="196723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31</xdr:row>
      <xdr:rowOff>66675</xdr:rowOff>
    </xdr:from>
    <xdr:to>
      <xdr:col>15</xdr:col>
      <xdr:colOff>7620</xdr:colOff>
      <xdr:row>44</xdr:row>
      <xdr:rowOff>38735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018FFD-EE8B-46A7-8162-1B53E3219B94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087350" y="4438650"/>
          <a:ext cx="2827020" cy="2077085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44</xdr:row>
      <xdr:rowOff>47625</xdr:rowOff>
    </xdr:from>
    <xdr:to>
      <xdr:col>14</xdr:col>
      <xdr:colOff>553085</xdr:colOff>
      <xdr:row>55</xdr:row>
      <xdr:rowOff>124460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35C5D69-CE2F-449E-813E-D1D97761E904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87350" y="6524625"/>
          <a:ext cx="2762885" cy="1858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1FF-9895-4DD8-92AB-0D76E6B3D7CB}">
  <dimension ref="A1:AW49"/>
  <sheetViews>
    <sheetView topLeftCell="X10" zoomScale="75" zoomScaleNormal="75" workbookViewId="0">
      <selection activeCell="AU24" sqref="AU24"/>
    </sheetView>
  </sheetViews>
  <sheetFormatPr defaultRowHeight="13.2" x14ac:dyDescent="0.25"/>
  <cols>
    <col min="1" max="21" width="11.88671875" customWidth="1"/>
    <col min="22" max="40" width="10.109375" customWidth="1"/>
    <col min="43" max="48" width="12.109375" customWidth="1"/>
  </cols>
  <sheetData>
    <row r="1" spans="1:38" x14ac:dyDescent="0.25">
      <c r="A1" s="7" t="s">
        <v>0</v>
      </c>
      <c r="B1" s="7"/>
      <c r="C1" s="7"/>
      <c r="D1" s="7"/>
      <c r="G1" s="15"/>
      <c r="H1" s="15"/>
      <c r="I1" s="15"/>
      <c r="J1" s="15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25">
      <c r="A2" s="19" t="s">
        <v>1</v>
      </c>
      <c r="B2" s="20"/>
      <c r="C2" s="20"/>
      <c r="D2" s="21"/>
      <c r="G2" s="15"/>
      <c r="H2" s="15"/>
      <c r="I2" s="15"/>
      <c r="J2" s="15"/>
    </row>
    <row r="3" spans="1:38" x14ac:dyDescent="0.25">
      <c r="A3" s="7" t="s">
        <v>2</v>
      </c>
      <c r="B3" s="7"/>
      <c r="C3" s="10">
        <v>1.1000000000000001</v>
      </c>
      <c r="D3" s="9"/>
      <c r="G3" s="18"/>
      <c r="H3" s="18"/>
      <c r="I3" s="18"/>
      <c r="J3" s="18"/>
    </row>
    <row r="4" spans="1:38" x14ac:dyDescent="0.25">
      <c r="A4" s="7" t="s">
        <v>3</v>
      </c>
      <c r="B4" s="7"/>
      <c r="C4" s="8">
        <v>1.1000000000000001</v>
      </c>
      <c r="D4" s="9"/>
      <c r="G4" s="15"/>
      <c r="H4" s="15"/>
      <c r="I4" s="15"/>
      <c r="J4" s="15"/>
    </row>
    <row r="5" spans="1:38" x14ac:dyDescent="0.25">
      <c r="A5" s="30" t="s">
        <v>4</v>
      </c>
      <c r="G5" s="18"/>
      <c r="H5" s="18"/>
      <c r="I5" s="18"/>
      <c r="J5" s="18"/>
    </row>
    <row r="6" spans="1:38" x14ac:dyDescent="0.25">
      <c r="A6" s="7" t="s">
        <v>2</v>
      </c>
      <c r="B6" s="7"/>
      <c r="C6" s="8">
        <v>1</v>
      </c>
      <c r="D6" s="9"/>
      <c r="G6" s="18"/>
      <c r="H6" s="18"/>
      <c r="I6" s="18"/>
      <c r="J6" s="18"/>
    </row>
    <row r="7" spans="1:38" x14ac:dyDescent="0.25">
      <c r="A7" s="7" t="s">
        <v>3</v>
      </c>
      <c r="B7" s="7"/>
      <c r="C7" s="10">
        <v>1.1000000000000001</v>
      </c>
      <c r="D7" s="9"/>
      <c r="G7" s="18"/>
      <c r="H7" s="18"/>
      <c r="I7" s="18"/>
      <c r="J7" s="18"/>
    </row>
    <row r="8" spans="1:38" x14ac:dyDescent="0.25">
      <c r="A8" s="24" t="s">
        <v>5</v>
      </c>
      <c r="B8" s="24"/>
      <c r="C8" s="33">
        <v>5.6000000000000001E-2</v>
      </c>
      <c r="D8" s="25" t="s">
        <v>6</v>
      </c>
      <c r="E8" s="18" t="s">
        <v>7</v>
      </c>
      <c r="G8" s="18"/>
      <c r="H8" s="18"/>
      <c r="I8" s="18"/>
      <c r="J8" s="18"/>
    </row>
    <row r="9" spans="1:38" x14ac:dyDescent="0.25">
      <c r="A9" s="19" t="s">
        <v>8</v>
      </c>
      <c r="B9" s="20"/>
      <c r="C9" s="20"/>
      <c r="D9" s="21"/>
      <c r="G9" s="18"/>
      <c r="H9" s="18"/>
      <c r="I9" s="18"/>
      <c r="J9" s="18"/>
    </row>
    <row r="10" spans="1:38" x14ac:dyDescent="0.25">
      <c r="A10" s="7" t="s">
        <v>2</v>
      </c>
      <c r="B10" s="7"/>
      <c r="C10" s="10">
        <v>1</v>
      </c>
      <c r="D10" s="9"/>
      <c r="G10" s="15"/>
      <c r="H10" s="15"/>
      <c r="I10" s="15"/>
      <c r="J10" s="15"/>
    </row>
    <row r="11" spans="1:38" x14ac:dyDescent="0.25">
      <c r="A11" s="7" t="s">
        <v>3</v>
      </c>
      <c r="B11" s="7"/>
      <c r="C11" s="10">
        <v>1.1000000000000001</v>
      </c>
      <c r="D11" s="9"/>
      <c r="G11" s="18"/>
      <c r="H11" s="18"/>
      <c r="I11" s="18"/>
      <c r="J11" s="18"/>
    </row>
    <row r="12" spans="1:38" x14ac:dyDescent="0.25">
      <c r="A12" s="32" t="s">
        <v>39</v>
      </c>
      <c r="C12" s="34">
        <v>2.8000000000000001E-2</v>
      </c>
      <c r="D12" t="s">
        <v>6</v>
      </c>
      <c r="E12" t="s">
        <v>7</v>
      </c>
      <c r="G12" s="18"/>
      <c r="H12" s="18"/>
      <c r="I12" s="18"/>
      <c r="J12" s="18"/>
    </row>
    <row r="13" spans="1:38" x14ac:dyDescent="0.25">
      <c r="G13" s="18"/>
      <c r="H13" s="18"/>
      <c r="I13" s="18"/>
      <c r="J13" s="18"/>
      <c r="P13" s="13"/>
      <c r="Q13" s="13"/>
      <c r="R13" s="13"/>
    </row>
    <row r="14" spans="1:38" x14ac:dyDescent="0.25">
      <c r="G14" s="18"/>
      <c r="H14" s="18"/>
      <c r="I14" s="18"/>
      <c r="J14" s="18"/>
      <c r="P14" s="1"/>
      <c r="Q14" s="1"/>
      <c r="R14" s="1"/>
    </row>
    <row r="16" spans="1:38" x14ac:dyDescent="0.25">
      <c r="I16" t="s">
        <v>41</v>
      </c>
    </row>
    <row r="17" spans="1:49" s="1" customFormat="1" ht="12.75" customHeight="1" x14ac:dyDescent="0.25">
      <c r="A17" s="50" t="s">
        <v>9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Q17" s="47" t="s">
        <v>9</v>
      </c>
      <c r="AR17" s="48"/>
      <c r="AS17" s="48"/>
      <c r="AT17" s="48"/>
      <c r="AU17" s="48"/>
      <c r="AV17" s="49"/>
    </row>
    <row r="18" spans="1:49" s="1" customFormat="1" ht="39.6" x14ac:dyDescent="0.25">
      <c r="A18" s="5" t="s">
        <v>10</v>
      </c>
      <c r="B18" s="5" t="s">
        <v>40</v>
      </c>
      <c r="C18" s="5" t="s">
        <v>11</v>
      </c>
      <c r="D18" s="5" t="s">
        <v>12</v>
      </c>
      <c r="E18" s="5" t="s">
        <v>13</v>
      </c>
      <c r="F18" s="2" t="s">
        <v>14</v>
      </c>
      <c r="G18" s="2" t="s">
        <v>78</v>
      </c>
      <c r="H18" s="2" t="s">
        <v>77</v>
      </c>
      <c r="I18" s="2" t="s">
        <v>74</v>
      </c>
      <c r="J18" s="2" t="s">
        <v>76</v>
      </c>
      <c r="K18" s="5" t="s">
        <v>16</v>
      </c>
      <c r="L18" s="5" t="s">
        <v>17</v>
      </c>
      <c r="M18" s="5" t="s">
        <v>75</v>
      </c>
      <c r="N18" s="2" t="s">
        <v>79</v>
      </c>
      <c r="O18" s="2" t="s">
        <v>80</v>
      </c>
      <c r="P18" s="2" t="s">
        <v>81</v>
      </c>
      <c r="Q18" s="2" t="s">
        <v>18</v>
      </c>
      <c r="R18" s="5" t="s">
        <v>19</v>
      </c>
      <c r="S18" s="5" t="s">
        <v>20</v>
      </c>
      <c r="T18" s="5" t="s">
        <v>21</v>
      </c>
      <c r="U18" s="5" t="s">
        <v>22</v>
      </c>
      <c r="V18" s="5" t="s">
        <v>23</v>
      </c>
      <c r="W18" s="5" t="s">
        <v>24</v>
      </c>
      <c r="X18" s="5" t="s">
        <v>82</v>
      </c>
      <c r="Y18" s="5" t="s">
        <v>25</v>
      </c>
      <c r="Z18" s="5" t="s">
        <v>26</v>
      </c>
      <c r="AA18" s="5" t="s">
        <v>83</v>
      </c>
      <c r="AB18" s="5" t="s">
        <v>84</v>
      </c>
      <c r="AC18" s="5" t="s">
        <v>86</v>
      </c>
      <c r="AD18" s="5" t="s">
        <v>87</v>
      </c>
      <c r="AE18" s="5" t="s">
        <v>85</v>
      </c>
      <c r="AF18" s="5" t="s">
        <v>28</v>
      </c>
      <c r="AG18" s="5" t="s">
        <v>29</v>
      </c>
      <c r="AH18" s="5" t="s">
        <v>30</v>
      </c>
      <c r="AI18" s="5" t="s">
        <v>31</v>
      </c>
      <c r="AJ18" s="5" t="s">
        <v>32</v>
      </c>
      <c r="AK18" s="5" t="s">
        <v>33</v>
      </c>
      <c r="AL18" s="5" t="s">
        <v>88</v>
      </c>
      <c r="AM18" s="5" t="s">
        <v>34</v>
      </c>
      <c r="AN18" s="5" t="s">
        <v>35</v>
      </c>
      <c r="AO18" s="4" t="s">
        <v>36</v>
      </c>
      <c r="AQ18" s="5" t="s">
        <v>10</v>
      </c>
      <c r="AR18" s="5" t="s">
        <v>16</v>
      </c>
      <c r="AS18" s="5" t="s">
        <v>34</v>
      </c>
      <c r="AT18" s="5" t="s">
        <v>35</v>
      </c>
      <c r="AU18" s="5" t="s">
        <v>37</v>
      </c>
      <c r="AV18" s="5" t="s">
        <v>38</v>
      </c>
    </row>
    <row r="19" spans="1:49" s="1" customFormat="1" x14ac:dyDescent="0.25">
      <c r="A19" s="17">
        <v>1</v>
      </c>
      <c r="B19" s="16">
        <v>11.666377794454252</v>
      </c>
      <c r="C19" s="16">
        <v>6.0820655523798282</v>
      </c>
      <c r="D19" s="16">
        <v>1.3454486799223404</v>
      </c>
      <c r="E19" s="29">
        <v>2</v>
      </c>
      <c r="F19" s="3">
        <f>(COS(D19)+E19*SIN(D19))^0.65</f>
        <v>1.6560483008075844</v>
      </c>
      <c r="G19" s="28">
        <v>4</v>
      </c>
      <c r="H19" s="28">
        <v>10</v>
      </c>
      <c r="I19" s="28">
        <v>6</v>
      </c>
      <c r="J19" s="28">
        <v>32</v>
      </c>
      <c r="K19" s="27">
        <v>12.06</v>
      </c>
      <c r="L19" s="12">
        <f t="shared" ref="L19:L46" si="0">+IF(Q19&lt;0,0,Q19*$B19*2*$C$3*F19*$C$4*(G19/$B19)^0.65*SQRT($C19^2/32.2/$B19)^0.43)</f>
        <v>0</v>
      </c>
      <c r="M19" s="16">
        <v>0</v>
      </c>
      <c r="N19" s="3">
        <f t="shared" ref="N19:N46" si="1">M19+H19</f>
        <v>10</v>
      </c>
      <c r="O19" s="3">
        <f>M19+L19/2</f>
        <v>0</v>
      </c>
      <c r="P19" s="3">
        <f>+M19+L19/2+Z19/2</f>
        <v>11.510499167462719</v>
      </c>
      <c r="Q19" s="3">
        <f>IF(N19/G19&gt;1.65,0,(0.4075-0.0669*I19/G19)-(0.4271-0.0778*I19/G19)*(N19/G19)+(0.1615-0.0455*I19/G19)*(N19/G19)^2-(0.0269-0.012*I19/G19)*(N19/G19)^3)</f>
        <v>0</v>
      </c>
      <c r="R19" s="6">
        <f t="shared" ref="R19:R46" si="2">+B19+L19/2</f>
        <v>11.666377794454252</v>
      </c>
      <c r="S19" s="3">
        <f t="shared" ref="S19:S44" si="3">+C19*B19/R19</f>
        <v>6.0820655523798282</v>
      </c>
      <c r="T19" s="6">
        <f>IF(M19&gt;0,MIN(R19,3.5*J19),N19+L19/2)</f>
        <v>10</v>
      </c>
      <c r="U19" s="6">
        <f t="shared" ref="U19:U46" si="4">IF(M19&gt;0,S19,S19*((LN(10.93*T19/$C$8*1000/3.28+1))/(LN(10.93*R19/$C$8*1000/3.28+1))))</f>
        <v>6.0123729943992963</v>
      </c>
      <c r="V19" s="6">
        <f>$J$19*(EXP(-2.705+0.51*LN(H19/T19)-2.783*(O19/T19)^3+1.751/EXP(O19/T19)))</f>
        <v>12.326308773368163</v>
      </c>
      <c r="W19" s="6">
        <f>+C19/SQRT(32.2*B19)</f>
        <v>0.31380159212526276</v>
      </c>
      <c r="X19" s="6">
        <f>11.17*B19^(0.166666666666667)*($C$12/1000*3.2808)^(0.333333333333333)</f>
        <v>0.75902330098194737</v>
      </c>
      <c r="Y19" s="6">
        <f>+IF(C19/X19&lt;1,2.58*(B19/G19)^0.34*W19^0.65,(B19/G19)^0.13*W19^0.25)</f>
        <v>0.86019650071488318</v>
      </c>
      <c r="Z19" s="12">
        <f t="shared" ref="Z19:Z46" si="5">+IF(T19&lt;0,0,IF(M19&gt;=0,R19*2*$C$6*F19*$C$7*Y19*(V19/R19)^0.65*SQRT(S19^2/32.2/R19)^0.43,T19*2*F19*$F$19*$C$7*Y19*($J$19/T19)^0.65*SQRT(U19^2/32.2/T19)^0.43))</f>
        <v>23.020998334925437</v>
      </c>
      <c r="AA19" s="6">
        <f t="shared" ref="AA19:AA44" si="6">+B19+L19/2+Z19/2</f>
        <v>23.176876961916971</v>
      </c>
      <c r="AB19" s="16">
        <v>7</v>
      </c>
      <c r="AC19" s="16">
        <v>3</v>
      </c>
      <c r="AD19" s="27">
        <f>+AB19*AC19</f>
        <v>21</v>
      </c>
      <c r="AE19" s="16">
        <v>20</v>
      </c>
      <c r="AF19" s="6">
        <f t="shared" ref="AF19:AF46" si="7">1-4/3*(1-1/AD19*AB19)*(1-(AE19/AB19)^-0.6)</f>
        <v>0.58457657338698243</v>
      </c>
      <c r="AG19" s="6">
        <f t="shared" ref="AG19:AG46" si="8">0.9+0.1*AC19-0.0714*(AC19-1)*(2.4-1.1*AE19/AB19+0.1*(AE19/AB19)^2)</f>
        <v>1.1895085714285716</v>
      </c>
      <c r="AH19" s="26">
        <f>+AD19*AF19*AG19</f>
        <v>14.60253573870334</v>
      </c>
      <c r="AI19" s="6">
        <f t="shared" ref="AI19:AI46" si="9">MIN(3.5*$AH$19,B19+L19/2+Z19/2)</f>
        <v>23.176876961916971</v>
      </c>
      <c r="AJ19" s="6">
        <f t="shared" ref="AJ19:AJ46" si="10">+B19*C19/AA19</f>
        <v>3.0614855755281356</v>
      </c>
      <c r="AK19" s="6">
        <f t="shared" ref="AK19:AK46" si="11">(3.08*(P19/AI19)-5.23*(P19/AI19)^2+5.25*(P19/AI19)^3-2.1*(P19/AI19)^4)^(1/0.65)</f>
        <v>0.64899093169855526</v>
      </c>
      <c r="AL19" s="31">
        <f>IF(AA19&lt;0,0,AA19*AK19*2*$C$10*$C$11*(AH19/AA19)^0.65*SQRT(AJ19^2/32.2/AA19)^0.43)</f>
        <v>9.5627751559165475</v>
      </c>
      <c r="AM19" s="6">
        <f t="shared" ref="AM19:AM46" si="12">+L19+Z19+IF(M19&lt;=0,0,AL19)</f>
        <v>23.020998334925437</v>
      </c>
      <c r="AN19" s="12">
        <f t="shared" ref="AN19:AN46" si="13">+AM19+K19</f>
        <v>35.08099833492544</v>
      </c>
      <c r="AO19" s="1" t="str">
        <f>IF(M19&lt;=0,"A","B")</f>
        <v>A</v>
      </c>
      <c r="AQ19" s="17">
        <v>1</v>
      </c>
      <c r="AR19" s="6">
        <f>+K19</f>
        <v>12.06</v>
      </c>
      <c r="AS19" s="6">
        <f>+AM19</f>
        <v>23.020998334925437</v>
      </c>
      <c r="AT19" s="6">
        <f>+AN19</f>
        <v>35.08099833492544</v>
      </c>
      <c r="AU19" s="16">
        <v>6.1123189926147496</v>
      </c>
      <c r="AV19" s="12">
        <f>+AU19-AT19</f>
        <v>-28.96867934231069</v>
      </c>
      <c r="AW19" s="14"/>
    </row>
    <row r="20" spans="1:49" s="1" customFormat="1" x14ac:dyDescent="0.25">
      <c r="A20" s="17">
        <v>2</v>
      </c>
      <c r="B20" s="16">
        <v>20.67673770434039</v>
      </c>
      <c r="C20" s="16">
        <v>5.0912996173681284</v>
      </c>
      <c r="D20" s="16">
        <v>0.84340066225148169</v>
      </c>
      <c r="E20" s="29">
        <v>2</v>
      </c>
      <c r="F20" s="3">
        <f t="shared" ref="F20:F46" si="14">(COS(D20)+E20*SIN(D20))^0.65</f>
        <v>1.6490382742979077</v>
      </c>
      <c r="G20" s="28">
        <v>4</v>
      </c>
      <c r="H20" s="28">
        <v>10</v>
      </c>
      <c r="I20" s="28">
        <v>6</v>
      </c>
      <c r="J20" s="28">
        <v>32</v>
      </c>
      <c r="K20" s="27">
        <v>12.06</v>
      </c>
      <c r="L20" s="12">
        <f t="shared" si="0"/>
        <v>0</v>
      </c>
      <c r="M20" s="16">
        <v>4.0557903744683896</v>
      </c>
      <c r="N20" s="3">
        <f t="shared" si="1"/>
        <v>14.055790374468391</v>
      </c>
      <c r="O20" s="3">
        <f t="shared" ref="O20:O46" si="15">M20+L20/2</f>
        <v>4.0557903744683896</v>
      </c>
      <c r="P20" s="3">
        <f>+M20+L20/2+Z20/2</f>
        <v>11.021827443970329</v>
      </c>
      <c r="Q20" s="3">
        <f t="shared" ref="Q20:Q46" si="16">IF(N20/G20&gt;1.5,0,(0.4075-0.0669*I20/G20)-(0.4271-0.0778*I20/G20)*(N20/G20)+(0.1615-0.0455*I20/G20)*(N20/G20)^2-(0.0269-0.012*I20/G20)*(N20/G20)^3)</f>
        <v>0</v>
      </c>
      <c r="R20" s="6">
        <f t="shared" si="2"/>
        <v>20.67673770434039</v>
      </c>
      <c r="S20" s="3">
        <f t="shared" si="3"/>
        <v>5.0912996173681284</v>
      </c>
      <c r="T20" s="6">
        <f t="shared" ref="T20:T46" si="17">IF(M20&gt;0,MIN(R20,3.5*J20),N20+L20/2)</f>
        <v>20.67673770434039</v>
      </c>
      <c r="U20" s="6">
        <f t="shared" si="4"/>
        <v>5.0912996173681284</v>
      </c>
      <c r="V20" s="6">
        <f t="shared" ref="V20:V46" si="18">$J$19*(EXP(-2.705+0.51*LN(H20/T20)-2.783*(O20/T20)^3+1.751/EXP(O20/T20)))</f>
        <v>6.1005574137679242</v>
      </c>
      <c r="W20" s="6">
        <f t="shared" ref="W20:W46" si="19">+C20/SQRT(32.2*B20)</f>
        <v>0.19731482217661914</v>
      </c>
      <c r="X20" s="6">
        <f t="shared" ref="X20:X46" si="20">11.17*B20^(0.166666666666667)*($C$12/1000*3.2808)^(0.333333333333333)</f>
        <v>0.83498647086109634</v>
      </c>
      <c r="Y20" s="6">
        <f t="shared" ref="Y20:Y46" si="21">+IF(C20/X20&lt;1,2.58*(B20/G20)^0.34*W20^0.65,(B20/G20)^0.13*W20^0.25)</f>
        <v>0.82515358552815588</v>
      </c>
      <c r="Z20" s="12">
        <f t="shared" si="5"/>
        <v>13.932074139003879</v>
      </c>
      <c r="AA20" s="6">
        <f t="shared" si="6"/>
        <v>27.64277477384233</v>
      </c>
      <c r="AB20" s="16">
        <v>7</v>
      </c>
      <c r="AC20" s="16">
        <v>3</v>
      </c>
      <c r="AD20" s="27">
        <f t="shared" ref="AD20:AD46" si="22">+AB20*AC20</f>
        <v>21</v>
      </c>
      <c r="AE20" s="16">
        <v>20</v>
      </c>
      <c r="AF20" s="6">
        <f t="shared" si="7"/>
        <v>0.58457657338698243</v>
      </c>
      <c r="AG20" s="6">
        <f t="shared" si="8"/>
        <v>1.1895085714285716</v>
      </c>
      <c r="AH20" s="26">
        <f t="shared" ref="AH20:AH46" si="23">+AD20*AF20*AG20</f>
        <v>14.60253573870334</v>
      </c>
      <c r="AI20" s="6">
        <f t="shared" si="9"/>
        <v>27.64277477384233</v>
      </c>
      <c r="AJ20" s="6">
        <f t="shared" si="10"/>
        <v>3.8082814631961317</v>
      </c>
      <c r="AK20" s="6">
        <f t="shared" si="11"/>
        <v>0.54788960615984328</v>
      </c>
      <c r="AL20" s="31">
        <f t="shared" ref="AL20:AL46" si="24">IF(AA20&lt;0,0,AA20*AK20*2*$C$10*$C$11*(AH20/AA20)^0.65*SQRT(AJ20^2/32.2/AA20)^0.43)</f>
        <v>9.0809674312789497</v>
      </c>
      <c r="AM20" s="6">
        <f t="shared" si="12"/>
        <v>23.01304157028283</v>
      </c>
      <c r="AN20" s="12">
        <f t="shared" si="13"/>
        <v>35.073041570282832</v>
      </c>
      <c r="AO20" s="1" t="str">
        <f t="shared" ref="AO20:AO46" si="25">IF(M20&lt;=0,"A","B")</f>
        <v>B</v>
      </c>
      <c r="AQ20" s="17">
        <v>2</v>
      </c>
      <c r="AR20" s="6">
        <f t="shared" ref="AR20:AR46" si="26">+K20</f>
        <v>12.06</v>
      </c>
      <c r="AS20" s="6">
        <f t="shared" ref="AS20:AS42" si="27">+AM20</f>
        <v>23.01304157028283</v>
      </c>
      <c r="AT20" s="6">
        <f t="shared" ref="AT20:AT42" si="28">+AN20</f>
        <v>35.073041570282832</v>
      </c>
      <c r="AU20" s="16">
        <v>-3.0457903744683898</v>
      </c>
      <c r="AV20" s="12">
        <f>+AU20-AT20</f>
        <v>-38.118831944751221</v>
      </c>
      <c r="AW20" s="14"/>
    </row>
    <row r="21" spans="1:49" s="1" customFormat="1" x14ac:dyDescent="0.25">
      <c r="A21" s="17">
        <v>3</v>
      </c>
      <c r="B21" s="16">
        <v>20.61874658054839</v>
      </c>
      <c r="C21" s="16">
        <v>5.6537838395205231</v>
      </c>
      <c r="D21" s="16">
        <v>0.84340066225148169</v>
      </c>
      <c r="E21" s="29">
        <v>2</v>
      </c>
      <c r="F21" s="3">
        <f t="shared" si="14"/>
        <v>1.6490382742979077</v>
      </c>
      <c r="G21" s="28">
        <v>6</v>
      </c>
      <c r="H21" s="28">
        <v>10</v>
      </c>
      <c r="I21" s="28">
        <v>6</v>
      </c>
      <c r="J21" s="28">
        <v>32</v>
      </c>
      <c r="K21" s="27">
        <v>12.06</v>
      </c>
      <c r="L21" s="12">
        <f t="shared" si="0"/>
        <v>0</v>
      </c>
      <c r="M21" s="16">
        <v>4.0557903744683896</v>
      </c>
      <c r="N21" s="3">
        <f t="shared" si="1"/>
        <v>14.055790374468391</v>
      </c>
      <c r="O21" s="3">
        <f>M21+L21/2</f>
        <v>4.0557903744683896</v>
      </c>
      <c r="P21" s="3">
        <f t="shared" ref="P21:P41" si="29">+M21+L21/2+Z21/2</f>
        <v>11.151575249827118</v>
      </c>
      <c r="Q21" s="3">
        <f t="shared" si="16"/>
        <v>0</v>
      </c>
      <c r="R21" s="6">
        <f t="shared" si="2"/>
        <v>20.61874658054839</v>
      </c>
      <c r="S21" s="3">
        <f t="shared" si="3"/>
        <v>5.6537838395205231</v>
      </c>
      <c r="T21" s="6">
        <f t="shared" si="17"/>
        <v>20.61874658054839</v>
      </c>
      <c r="U21" s="6">
        <f t="shared" si="4"/>
        <v>5.6537838395205231</v>
      </c>
      <c r="V21" s="6">
        <f t="shared" si="18"/>
        <v>6.1033700360208485</v>
      </c>
      <c r="W21" s="6">
        <f t="shared" si="19"/>
        <v>0.21942198210798677</v>
      </c>
      <c r="X21" s="6">
        <f t="shared" si="20"/>
        <v>0.83459570574380215</v>
      </c>
      <c r="Y21" s="6">
        <f t="shared" si="21"/>
        <v>0.8035528852705075</v>
      </c>
      <c r="Z21" s="12">
        <f t="shared" si="5"/>
        <v>14.191569750717459</v>
      </c>
      <c r="AA21" s="6">
        <f t="shared" si="6"/>
        <v>27.714531455907121</v>
      </c>
      <c r="AB21" s="16">
        <v>7</v>
      </c>
      <c r="AC21" s="16">
        <v>3</v>
      </c>
      <c r="AD21" s="27">
        <f t="shared" si="22"/>
        <v>21</v>
      </c>
      <c r="AE21" s="16">
        <v>20</v>
      </c>
      <c r="AF21" s="6">
        <f t="shared" si="7"/>
        <v>0.58457657338698243</v>
      </c>
      <c r="AG21" s="6">
        <f t="shared" si="8"/>
        <v>1.1895085714285716</v>
      </c>
      <c r="AH21" s="26">
        <f t="shared" si="23"/>
        <v>14.60253573870334</v>
      </c>
      <c r="AI21" s="6">
        <f t="shared" si="9"/>
        <v>27.714531455907121</v>
      </c>
      <c r="AJ21" s="6">
        <f t="shared" si="10"/>
        <v>4.2062387521773088</v>
      </c>
      <c r="AK21" s="6">
        <f t="shared" si="11"/>
        <v>0.55188506306598462</v>
      </c>
      <c r="AL21" s="31">
        <f t="shared" si="24"/>
        <v>9.5499388913900489</v>
      </c>
      <c r="AM21" s="6">
        <f t="shared" si="12"/>
        <v>23.741508642107508</v>
      </c>
      <c r="AN21" s="12">
        <f t="shared" si="13"/>
        <v>35.801508642107507</v>
      </c>
      <c r="AO21" s="1" t="str">
        <f t="shared" si="25"/>
        <v>B</v>
      </c>
      <c r="AQ21" s="17">
        <v>3</v>
      </c>
      <c r="AR21" s="6">
        <f t="shared" si="26"/>
        <v>12.06</v>
      </c>
      <c r="AS21" s="6">
        <f t="shared" si="27"/>
        <v>23.741508642107508</v>
      </c>
      <c r="AT21" s="6">
        <f t="shared" si="28"/>
        <v>35.801508642107507</v>
      </c>
      <c r="AU21" s="16">
        <v>-3.0457903744683898</v>
      </c>
      <c r="AV21" s="12">
        <f t="shared" ref="AV21:AV46" si="30">+AU21-AT21</f>
        <v>-38.847299016575896</v>
      </c>
      <c r="AW21" s="14"/>
    </row>
    <row r="22" spans="1:49" s="1" customFormat="1" x14ac:dyDescent="0.25">
      <c r="A22" s="17">
        <v>4</v>
      </c>
      <c r="B22" s="16">
        <v>24.35703936485546</v>
      </c>
      <c r="C22" s="16">
        <v>6.2025524777523087</v>
      </c>
      <c r="D22" s="16">
        <v>1.8640619650299084</v>
      </c>
      <c r="E22" s="29">
        <v>2</v>
      </c>
      <c r="F22" s="3">
        <f t="shared" si="14"/>
        <v>1.3713450102566354</v>
      </c>
      <c r="G22" s="28">
        <v>6</v>
      </c>
      <c r="H22" s="28">
        <v>10</v>
      </c>
      <c r="I22" s="28">
        <v>6</v>
      </c>
      <c r="J22" s="28">
        <v>32</v>
      </c>
      <c r="K22" s="27">
        <v>12.06</v>
      </c>
      <c r="L22" s="12">
        <f t="shared" si="0"/>
        <v>0</v>
      </c>
      <c r="M22" s="16">
        <v>7.79259054985046</v>
      </c>
      <c r="N22" s="3">
        <f t="shared" si="1"/>
        <v>17.792590549850459</v>
      </c>
      <c r="O22" s="3">
        <f t="shared" si="15"/>
        <v>7.79259054985046</v>
      </c>
      <c r="P22" s="3">
        <f t="shared" si="29"/>
        <v>13.011683057943099</v>
      </c>
      <c r="Q22" s="3">
        <f t="shared" si="16"/>
        <v>0</v>
      </c>
      <c r="R22" s="6">
        <f t="shared" si="2"/>
        <v>24.35703936485546</v>
      </c>
      <c r="S22" s="3">
        <f t="shared" si="3"/>
        <v>6.2025524777523087</v>
      </c>
      <c r="T22" s="6">
        <f>IF(M22&gt;0,MIN(R22,3.5*J22),N22+L22/2)</f>
        <v>24.35703936485546</v>
      </c>
      <c r="U22" s="6">
        <f t="shared" si="4"/>
        <v>6.2025524777523087</v>
      </c>
      <c r="V22" s="6">
        <f t="shared" si="18"/>
        <v>4.4244870585621694</v>
      </c>
      <c r="W22" s="6">
        <f t="shared" si="19"/>
        <v>0.22147783143077218</v>
      </c>
      <c r="X22" s="6">
        <f t="shared" si="20"/>
        <v>0.85809726678757248</v>
      </c>
      <c r="Y22" s="6">
        <f t="shared" si="21"/>
        <v>0.82306491220161904</v>
      </c>
      <c r="Z22" s="12">
        <f t="shared" si="5"/>
        <v>10.438185016185276</v>
      </c>
      <c r="AA22" s="6">
        <f t="shared" si="6"/>
        <v>29.576131872948096</v>
      </c>
      <c r="AB22" s="16">
        <v>7</v>
      </c>
      <c r="AC22" s="16">
        <v>3</v>
      </c>
      <c r="AD22" s="27">
        <f t="shared" si="22"/>
        <v>21</v>
      </c>
      <c r="AE22" s="16">
        <v>20</v>
      </c>
      <c r="AF22" s="6">
        <f t="shared" si="7"/>
        <v>0.58457657338698243</v>
      </c>
      <c r="AG22" s="6">
        <f t="shared" si="8"/>
        <v>1.1895085714285716</v>
      </c>
      <c r="AH22" s="26">
        <f t="shared" si="23"/>
        <v>14.60253573870334</v>
      </c>
      <c r="AI22" s="6">
        <f t="shared" si="9"/>
        <v>29.576131872948096</v>
      </c>
      <c r="AJ22" s="6">
        <f t="shared" si="10"/>
        <v>5.1080315543689041</v>
      </c>
      <c r="AK22" s="6">
        <f t="shared" si="11"/>
        <v>0.59187164976867479</v>
      </c>
      <c r="AL22" s="31">
        <f t="shared" si="24"/>
        <v>11.232222769305309</v>
      </c>
      <c r="AM22" s="6">
        <f t="shared" si="12"/>
        <v>21.670407785490585</v>
      </c>
      <c r="AN22" s="12">
        <f t="shared" si="13"/>
        <v>33.730407785490584</v>
      </c>
      <c r="AO22" s="1" t="str">
        <f t="shared" si="25"/>
        <v>B</v>
      </c>
      <c r="AQ22" s="17">
        <v>4</v>
      </c>
      <c r="AR22" s="6">
        <f t="shared" si="26"/>
        <v>12.06</v>
      </c>
      <c r="AS22" s="6">
        <f t="shared" si="27"/>
        <v>21.670407785490585</v>
      </c>
      <c r="AT22" s="6">
        <f t="shared" si="28"/>
        <v>33.730407785490584</v>
      </c>
      <c r="AU22" s="16">
        <v>-6.7825905498504602</v>
      </c>
      <c r="AV22" s="12">
        <f t="shared" si="30"/>
        <v>-40.512998335341045</v>
      </c>
      <c r="AW22" s="14"/>
    </row>
    <row r="23" spans="1:49" s="1" customFormat="1" x14ac:dyDescent="0.25">
      <c r="A23" s="17">
        <v>5</v>
      </c>
      <c r="B23" s="16">
        <v>26.691573874613962</v>
      </c>
      <c r="C23" s="16">
        <v>7.6661149946861604</v>
      </c>
      <c r="D23" s="16">
        <v>0.71807092823779406</v>
      </c>
      <c r="E23" s="29">
        <v>2</v>
      </c>
      <c r="F23" s="3">
        <f t="shared" si="14"/>
        <v>1.604118670762837</v>
      </c>
      <c r="G23" s="28">
        <v>6</v>
      </c>
      <c r="H23" s="28">
        <v>10</v>
      </c>
      <c r="I23" s="28">
        <v>6</v>
      </c>
      <c r="J23" s="28">
        <v>32</v>
      </c>
      <c r="K23" s="27">
        <v>12.06</v>
      </c>
      <c r="L23" s="12">
        <f t="shared" si="0"/>
        <v>0</v>
      </c>
      <c r="M23" s="16">
        <v>10.08470149993896</v>
      </c>
      <c r="N23" s="3">
        <f t="shared" si="1"/>
        <v>20.084701499938959</v>
      </c>
      <c r="O23" s="3">
        <f t="shared" si="15"/>
        <v>10.08470149993896</v>
      </c>
      <c r="P23" s="3">
        <f t="shared" si="29"/>
        <v>16.449730685493194</v>
      </c>
      <c r="Q23" s="3">
        <f t="shared" si="16"/>
        <v>0</v>
      </c>
      <c r="R23" s="6">
        <f t="shared" si="2"/>
        <v>26.691573874613962</v>
      </c>
      <c r="S23" s="3">
        <f t="shared" si="3"/>
        <v>7.6661149946861604</v>
      </c>
      <c r="T23" s="6">
        <f>IF(M23&gt;0,MIN(R23,3.5*J23),N23+L23/2)</f>
        <v>26.691573874613962</v>
      </c>
      <c r="U23" s="6">
        <f t="shared" si="4"/>
        <v>7.6661149946861604</v>
      </c>
      <c r="V23" s="6">
        <f t="shared" si="18"/>
        <v>3.7061280027268415</v>
      </c>
      <c r="W23" s="6">
        <f t="shared" si="19"/>
        <v>0.26149314132935075</v>
      </c>
      <c r="X23" s="6">
        <f t="shared" si="20"/>
        <v>0.87128746527032197</v>
      </c>
      <c r="Y23" s="6">
        <f t="shared" si="21"/>
        <v>0.86822853825891888</v>
      </c>
      <c r="Z23" s="12">
        <f t="shared" si="5"/>
        <v>12.73005837110847</v>
      </c>
      <c r="AA23" s="6">
        <f t="shared" si="6"/>
        <v>33.0566030601682</v>
      </c>
      <c r="AB23" s="16">
        <v>7</v>
      </c>
      <c r="AC23" s="16">
        <v>3</v>
      </c>
      <c r="AD23" s="27">
        <f t="shared" si="22"/>
        <v>21</v>
      </c>
      <c r="AE23" s="16">
        <v>20</v>
      </c>
      <c r="AF23" s="6">
        <f t="shared" si="7"/>
        <v>0.58457657338698243</v>
      </c>
      <c r="AG23" s="6">
        <f t="shared" si="8"/>
        <v>1.1895085714285716</v>
      </c>
      <c r="AH23" s="26">
        <f t="shared" si="23"/>
        <v>14.60253573870334</v>
      </c>
      <c r="AI23" s="6">
        <f t="shared" si="9"/>
        <v>33.0566030601682</v>
      </c>
      <c r="AJ23" s="6">
        <f t="shared" si="10"/>
        <v>6.1900091288723695</v>
      </c>
      <c r="AK23" s="6">
        <f t="shared" si="11"/>
        <v>0.64995657737741208</v>
      </c>
      <c r="AL23" s="31">
        <f t="shared" si="24"/>
        <v>13.599517700135495</v>
      </c>
      <c r="AM23" s="6">
        <f t="shared" si="12"/>
        <v>26.329576071243963</v>
      </c>
      <c r="AN23" s="12">
        <f t="shared" si="13"/>
        <v>38.389576071243965</v>
      </c>
      <c r="AO23" s="1" t="str">
        <f t="shared" si="25"/>
        <v>B</v>
      </c>
      <c r="AQ23" s="17">
        <v>5</v>
      </c>
      <c r="AR23" s="6">
        <f t="shared" si="26"/>
        <v>12.06</v>
      </c>
      <c r="AS23" s="6">
        <f t="shared" si="27"/>
        <v>26.329576071243963</v>
      </c>
      <c r="AT23" s="6">
        <f t="shared" si="28"/>
        <v>38.389576071243965</v>
      </c>
      <c r="AU23" s="16">
        <v>-9.0747014999389606</v>
      </c>
      <c r="AV23" s="12">
        <f t="shared" si="30"/>
        <v>-47.464277571182926</v>
      </c>
      <c r="AW23" s="14"/>
    </row>
    <row r="24" spans="1:49" s="1" customFormat="1" x14ac:dyDescent="0.25">
      <c r="A24" s="17">
        <v>6</v>
      </c>
      <c r="B24" s="16">
        <v>27.693359241074504</v>
      </c>
      <c r="C24" s="16">
        <v>5.7055453413427042</v>
      </c>
      <c r="D24" s="16">
        <v>1.0102366711505297</v>
      </c>
      <c r="E24" s="29">
        <v>2</v>
      </c>
      <c r="F24" s="3">
        <f t="shared" si="14"/>
        <v>1.6820447215555232</v>
      </c>
      <c r="G24" s="28">
        <v>6</v>
      </c>
      <c r="H24" s="28">
        <v>10</v>
      </c>
      <c r="I24" s="28">
        <v>6</v>
      </c>
      <c r="J24" s="28">
        <v>32</v>
      </c>
      <c r="K24" s="27">
        <v>12.06</v>
      </c>
      <c r="L24" s="12">
        <f t="shared" si="0"/>
        <v>0</v>
      </c>
      <c r="M24" s="16">
        <v>11.0944411849975</v>
      </c>
      <c r="N24" s="3">
        <f t="shared" si="1"/>
        <v>21.0944411849975</v>
      </c>
      <c r="O24" s="3">
        <f t="shared" si="15"/>
        <v>11.0944411849975</v>
      </c>
      <c r="P24" s="3">
        <f t="shared" si="29"/>
        <v>16.322407329835411</v>
      </c>
      <c r="Q24" s="3">
        <f t="shared" si="16"/>
        <v>0</v>
      </c>
      <c r="R24" s="6">
        <f t="shared" si="2"/>
        <v>27.693359241074504</v>
      </c>
      <c r="S24" s="3">
        <f t="shared" si="3"/>
        <v>5.7055453413427042</v>
      </c>
      <c r="T24" s="6">
        <f t="shared" si="17"/>
        <v>27.693359241074504</v>
      </c>
      <c r="U24" s="6">
        <f t="shared" si="4"/>
        <v>5.7055453413427042</v>
      </c>
      <c r="V24" s="6">
        <f t="shared" si="18"/>
        <v>3.4394584380877382</v>
      </c>
      <c r="W24" s="6">
        <f t="shared" si="19"/>
        <v>0.19106511737152126</v>
      </c>
      <c r="X24" s="6">
        <f t="shared" si="20"/>
        <v>0.87665431654142545</v>
      </c>
      <c r="Y24" s="6">
        <f t="shared" si="21"/>
        <v>0.80657456379203996</v>
      </c>
      <c r="Z24" s="12">
        <f t="shared" si="5"/>
        <v>10.455932289675824</v>
      </c>
      <c r="AA24" s="6">
        <f t="shared" si="6"/>
        <v>32.921325385912418</v>
      </c>
      <c r="AB24" s="16">
        <v>7</v>
      </c>
      <c r="AC24" s="16">
        <v>3</v>
      </c>
      <c r="AD24" s="27">
        <f t="shared" si="22"/>
        <v>21</v>
      </c>
      <c r="AE24" s="16">
        <v>20</v>
      </c>
      <c r="AF24" s="6">
        <f t="shared" si="7"/>
        <v>0.58457657338698243</v>
      </c>
      <c r="AG24" s="6">
        <f t="shared" si="8"/>
        <v>1.1895085714285716</v>
      </c>
      <c r="AH24" s="26">
        <f t="shared" si="23"/>
        <v>14.60253573870334</v>
      </c>
      <c r="AI24" s="6">
        <f t="shared" si="9"/>
        <v>32.921325385912418</v>
      </c>
      <c r="AJ24" s="6">
        <f t="shared" si="10"/>
        <v>4.7994943992034971</v>
      </c>
      <c r="AK24" s="6">
        <f t="shared" si="11"/>
        <v>0.64817075237581723</v>
      </c>
      <c r="AL24" s="31">
        <f t="shared" si="24"/>
        <v>12.149963595930657</v>
      </c>
      <c r="AM24" s="6">
        <f t="shared" si="12"/>
        <v>22.605895885606479</v>
      </c>
      <c r="AN24" s="12">
        <f t="shared" si="13"/>
        <v>34.665895885606481</v>
      </c>
      <c r="AO24" s="1" t="str">
        <f t="shared" si="25"/>
        <v>B</v>
      </c>
      <c r="AQ24" s="17">
        <v>6</v>
      </c>
      <c r="AR24" s="6">
        <f t="shared" si="26"/>
        <v>12.06</v>
      </c>
      <c r="AS24" s="6">
        <f t="shared" si="27"/>
        <v>22.605895885606479</v>
      </c>
      <c r="AT24" s="6">
        <f t="shared" si="28"/>
        <v>34.665895885606481</v>
      </c>
      <c r="AU24" s="16">
        <v>-10.0844411849975</v>
      </c>
      <c r="AV24" s="12">
        <f t="shared" si="30"/>
        <v>-44.750337070603983</v>
      </c>
      <c r="AW24" s="14"/>
    </row>
    <row r="25" spans="1:49" s="1" customFormat="1" x14ac:dyDescent="0.25">
      <c r="A25" s="17">
        <v>7</v>
      </c>
      <c r="B25" s="16">
        <v>26.561935138726771</v>
      </c>
      <c r="C25" s="16">
        <v>6.2480146300621398</v>
      </c>
      <c r="D25" s="16">
        <v>1.1686887342446317</v>
      </c>
      <c r="E25" s="29">
        <v>2</v>
      </c>
      <c r="F25" s="3">
        <f t="shared" si="14"/>
        <v>1.6851182045837942</v>
      </c>
      <c r="G25" s="28">
        <v>6</v>
      </c>
      <c r="H25" s="28">
        <v>10</v>
      </c>
      <c r="I25" s="28">
        <v>6</v>
      </c>
      <c r="J25" s="28">
        <v>32</v>
      </c>
      <c r="K25" s="27">
        <v>12.06</v>
      </c>
      <c r="L25" s="12">
        <f t="shared" si="0"/>
        <v>0</v>
      </c>
      <c r="M25" s="16">
        <v>9.9623677825927697</v>
      </c>
      <c r="N25" s="3">
        <f t="shared" si="1"/>
        <v>19.962367782592771</v>
      </c>
      <c r="O25" s="3">
        <f t="shared" si="15"/>
        <v>9.9623677825927697</v>
      </c>
      <c r="P25" s="3">
        <f t="shared" si="29"/>
        <v>15.810965067685704</v>
      </c>
      <c r="Q25" s="3">
        <f t="shared" si="16"/>
        <v>0</v>
      </c>
      <c r="R25" s="6">
        <f t="shared" si="2"/>
        <v>26.561935138726771</v>
      </c>
      <c r="S25" s="3">
        <f t="shared" si="3"/>
        <v>6.2480146300621398</v>
      </c>
      <c r="T25" s="6">
        <f t="shared" si="17"/>
        <v>26.561935138726771</v>
      </c>
      <c r="U25" s="6">
        <f t="shared" si="4"/>
        <v>6.2480146300621398</v>
      </c>
      <c r="V25" s="6">
        <f t="shared" si="18"/>
        <v>3.7398918248384976</v>
      </c>
      <c r="W25" s="6">
        <f t="shared" si="19"/>
        <v>0.21364082481922936</v>
      </c>
      <c r="X25" s="6">
        <f t="shared" si="20"/>
        <v>0.870580738678011</v>
      </c>
      <c r="Y25" s="6">
        <f t="shared" si="21"/>
        <v>0.82492632213421047</v>
      </c>
      <c r="Z25" s="12">
        <f t="shared" si="5"/>
        <v>11.69719457018587</v>
      </c>
      <c r="AA25" s="6">
        <f t="shared" si="6"/>
        <v>32.410532423819703</v>
      </c>
      <c r="AB25" s="16">
        <v>7</v>
      </c>
      <c r="AC25" s="16">
        <v>3</v>
      </c>
      <c r="AD25" s="27">
        <f t="shared" si="22"/>
        <v>21</v>
      </c>
      <c r="AE25" s="16">
        <v>20</v>
      </c>
      <c r="AF25" s="6">
        <f t="shared" si="7"/>
        <v>0.58457657338698243</v>
      </c>
      <c r="AG25" s="6">
        <f t="shared" si="8"/>
        <v>1.1895085714285716</v>
      </c>
      <c r="AH25" s="26">
        <f t="shared" si="23"/>
        <v>14.60253573870334</v>
      </c>
      <c r="AI25" s="6">
        <f t="shared" si="9"/>
        <v>32.410532423819703</v>
      </c>
      <c r="AJ25" s="6">
        <f t="shared" si="10"/>
        <v>5.1205378911812263</v>
      </c>
      <c r="AK25" s="6">
        <f t="shared" si="11"/>
        <v>0.6403319982004092</v>
      </c>
      <c r="AL25" s="31">
        <f t="shared" si="24"/>
        <v>12.315883926169809</v>
      </c>
      <c r="AM25" s="6">
        <f t="shared" si="12"/>
        <v>24.013078496355678</v>
      </c>
      <c r="AN25" s="12">
        <f t="shared" si="13"/>
        <v>36.073078496355677</v>
      </c>
      <c r="AO25" s="1" t="str">
        <f t="shared" si="25"/>
        <v>B</v>
      </c>
      <c r="AQ25" s="17">
        <v>7</v>
      </c>
      <c r="AR25" s="6">
        <f t="shared" si="26"/>
        <v>12.06</v>
      </c>
      <c r="AS25" s="6">
        <f t="shared" si="27"/>
        <v>24.013078496355678</v>
      </c>
      <c r="AT25" s="6">
        <f t="shared" si="28"/>
        <v>36.073078496355677</v>
      </c>
      <c r="AU25" s="16">
        <v>-8.9523677825927699</v>
      </c>
      <c r="AV25" s="12">
        <f t="shared" si="30"/>
        <v>-45.025446278948451</v>
      </c>
      <c r="AW25" s="14"/>
    </row>
    <row r="26" spans="1:49" s="1" customFormat="1" x14ac:dyDescent="0.25">
      <c r="A26" s="17">
        <v>8</v>
      </c>
      <c r="B26" s="16">
        <v>25.842825510113258</v>
      </c>
      <c r="C26" s="16">
        <v>6.1341828905484892</v>
      </c>
      <c r="D26" s="16">
        <v>1.1686887342446317</v>
      </c>
      <c r="E26" s="29">
        <v>2</v>
      </c>
      <c r="F26" s="3">
        <f t="shared" si="14"/>
        <v>1.6851182045837942</v>
      </c>
      <c r="G26" s="28">
        <v>6</v>
      </c>
      <c r="H26" s="28">
        <v>10</v>
      </c>
      <c r="I26" s="28">
        <v>6</v>
      </c>
      <c r="J26" s="28">
        <v>32</v>
      </c>
      <c r="K26" s="27">
        <v>12.06</v>
      </c>
      <c r="L26" s="12">
        <f t="shared" si="0"/>
        <v>0</v>
      </c>
      <c r="M26" s="16">
        <v>9.2420127487182597</v>
      </c>
      <c r="N26" s="3">
        <f t="shared" si="1"/>
        <v>19.24201274871826</v>
      </c>
      <c r="O26" s="3">
        <f t="shared" si="15"/>
        <v>9.2420127487182597</v>
      </c>
      <c r="P26" s="3">
        <f t="shared" si="29"/>
        <v>15.204077641374301</v>
      </c>
      <c r="Q26" s="3">
        <f t="shared" si="16"/>
        <v>0</v>
      </c>
      <c r="R26" s="6">
        <f t="shared" si="2"/>
        <v>25.842825510113258</v>
      </c>
      <c r="S26" s="3">
        <f t="shared" si="3"/>
        <v>6.1341828905484892</v>
      </c>
      <c r="T26" s="6">
        <f t="shared" si="17"/>
        <v>25.842825510113258</v>
      </c>
      <c r="U26" s="6">
        <f t="shared" si="4"/>
        <v>6.1341828905484892</v>
      </c>
      <c r="V26" s="6">
        <f t="shared" si="18"/>
        <v>3.9501961925480216</v>
      </c>
      <c r="W26" s="6">
        <f t="shared" si="19"/>
        <v>0.21264676827057516</v>
      </c>
      <c r="X26" s="6">
        <f t="shared" si="20"/>
        <v>0.86660748318990266</v>
      </c>
      <c r="Y26" s="6">
        <f t="shared" si="21"/>
        <v>0.82103039179639359</v>
      </c>
      <c r="Z26" s="12">
        <f t="shared" si="5"/>
        <v>11.924129785312083</v>
      </c>
      <c r="AA26" s="6">
        <f t="shared" si="6"/>
        <v>31.804890402769299</v>
      </c>
      <c r="AB26" s="16">
        <v>7</v>
      </c>
      <c r="AC26" s="16">
        <v>3</v>
      </c>
      <c r="AD26" s="27">
        <f t="shared" si="22"/>
        <v>21</v>
      </c>
      <c r="AE26" s="16">
        <v>20</v>
      </c>
      <c r="AF26" s="6">
        <f t="shared" si="7"/>
        <v>0.58457657338698243</v>
      </c>
      <c r="AG26" s="6">
        <f t="shared" si="8"/>
        <v>1.1895085714285716</v>
      </c>
      <c r="AH26" s="26">
        <f t="shared" si="23"/>
        <v>14.60253573870334</v>
      </c>
      <c r="AI26" s="6">
        <f t="shared" si="9"/>
        <v>31.804890402769299</v>
      </c>
      <c r="AJ26" s="6">
        <f t="shared" si="10"/>
        <v>4.9842843688517728</v>
      </c>
      <c r="AK26" s="6">
        <f t="shared" si="11"/>
        <v>0.6306178934415243</v>
      </c>
      <c r="AL26" s="31">
        <f t="shared" si="24"/>
        <v>11.958706979940359</v>
      </c>
      <c r="AM26" s="6">
        <f t="shared" si="12"/>
        <v>23.882836765252442</v>
      </c>
      <c r="AN26" s="12">
        <f t="shared" si="13"/>
        <v>35.942836765252444</v>
      </c>
      <c r="AO26" s="1" t="str">
        <f t="shared" si="25"/>
        <v>B</v>
      </c>
      <c r="AQ26" s="17">
        <v>8</v>
      </c>
      <c r="AR26" s="6">
        <f t="shared" si="26"/>
        <v>12.06</v>
      </c>
      <c r="AS26" s="6">
        <f t="shared" si="27"/>
        <v>23.882836765252442</v>
      </c>
      <c r="AT26" s="6">
        <f t="shared" si="28"/>
        <v>35.942836765252444</v>
      </c>
      <c r="AU26" s="16">
        <v>-8.2320127487182599</v>
      </c>
      <c r="AV26" s="12">
        <f t="shared" si="30"/>
        <v>-44.174849513970706</v>
      </c>
      <c r="AW26" s="14"/>
    </row>
    <row r="27" spans="1:49" s="1" customFormat="1" x14ac:dyDescent="0.25">
      <c r="A27" s="17">
        <v>9</v>
      </c>
      <c r="B27" s="16">
        <v>26.850005273074821</v>
      </c>
      <c r="C27" s="16">
        <v>5.7409401315363846</v>
      </c>
      <c r="D27" s="16">
        <v>1.3430810400988193</v>
      </c>
      <c r="E27" s="29">
        <v>2</v>
      </c>
      <c r="F27" s="3">
        <f t="shared" si="14"/>
        <v>1.6566643166094519</v>
      </c>
      <c r="G27" s="28">
        <v>6</v>
      </c>
      <c r="H27" s="28">
        <v>10</v>
      </c>
      <c r="I27" s="28">
        <v>6</v>
      </c>
      <c r="J27" s="28">
        <v>32</v>
      </c>
      <c r="K27" s="27">
        <v>12.06</v>
      </c>
      <c r="L27" s="12">
        <f t="shared" si="0"/>
        <v>0</v>
      </c>
      <c r="M27" s="16">
        <v>10.238110599517819</v>
      </c>
      <c r="N27" s="3">
        <f t="shared" si="1"/>
        <v>20.238110599517817</v>
      </c>
      <c r="O27" s="3">
        <f t="shared" si="15"/>
        <v>10.238110599517819</v>
      </c>
      <c r="P27" s="3">
        <f t="shared" si="29"/>
        <v>15.602769808393177</v>
      </c>
      <c r="Q27" s="3">
        <f t="shared" si="16"/>
        <v>0</v>
      </c>
      <c r="R27" s="6">
        <f t="shared" si="2"/>
        <v>26.850005273074821</v>
      </c>
      <c r="S27" s="3">
        <f t="shared" si="3"/>
        <v>5.7409401315363846</v>
      </c>
      <c r="T27" s="6">
        <f t="shared" si="17"/>
        <v>26.850005273074821</v>
      </c>
      <c r="U27" s="6">
        <f t="shared" si="4"/>
        <v>5.7409401315363846</v>
      </c>
      <c r="V27" s="6">
        <f t="shared" si="18"/>
        <v>3.6641801256838118</v>
      </c>
      <c r="W27" s="6">
        <f t="shared" si="19"/>
        <v>0.1952463367961623</v>
      </c>
      <c r="X27" s="6">
        <f t="shared" si="20"/>
        <v>0.87214728173841349</v>
      </c>
      <c r="Y27" s="6">
        <f t="shared" si="21"/>
        <v>0.80769766960927769</v>
      </c>
      <c r="Z27" s="12">
        <f t="shared" si="5"/>
        <v>10.729318417750713</v>
      </c>
      <c r="AA27" s="6">
        <f t="shared" si="6"/>
        <v>32.21466448195018</v>
      </c>
      <c r="AB27" s="16">
        <v>7</v>
      </c>
      <c r="AC27" s="16">
        <v>3</v>
      </c>
      <c r="AD27" s="27">
        <f t="shared" si="22"/>
        <v>21</v>
      </c>
      <c r="AE27" s="16">
        <v>20</v>
      </c>
      <c r="AF27" s="6">
        <f t="shared" si="7"/>
        <v>0.58457657338698243</v>
      </c>
      <c r="AG27" s="6">
        <f t="shared" si="8"/>
        <v>1.1895085714285716</v>
      </c>
      <c r="AH27" s="26">
        <f t="shared" si="23"/>
        <v>14.60253573870334</v>
      </c>
      <c r="AI27" s="6">
        <f t="shared" si="9"/>
        <v>32.21466448195018</v>
      </c>
      <c r="AJ27" s="6">
        <f t="shared" si="10"/>
        <v>4.7849100800204063</v>
      </c>
      <c r="AK27" s="6">
        <f t="shared" si="11"/>
        <v>0.63687340481178578</v>
      </c>
      <c r="AL27" s="31">
        <f t="shared" si="24"/>
        <v>11.887707919959222</v>
      </c>
      <c r="AM27" s="6">
        <f t="shared" si="12"/>
        <v>22.617026337709937</v>
      </c>
      <c r="AN27" s="12">
        <f t="shared" si="13"/>
        <v>34.67702633770994</v>
      </c>
      <c r="AO27" s="1" t="str">
        <f t="shared" si="25"/>
        <v>B</v>
      </c>
      <c r="AQ27" s="17">
        <v>9</v>
      </c>
      <c r="AR27" s="6">
        <f t="shared" si="26"/>
        <v>12.06</v>
      </c>
      <c r="AS27" s="6">
        <f t="shared" si="27"/>
        <v>22.617026337709937</v>
      </c>
      <c r="AT27" s="6">
        <f t="shared" si="28"/>
        <v>34.67702633770994</v>
      </c>
      <c r="AU27" s="16">
        <v>-9.2281105995178194</v>
      </c>
      <c r="AV27" s="12">
        <f t="shared" si="30"/>
        <v>-43.905136937227759</v>
      </c>
      <c r="AW27" s="14"/>
    </row>
    <row r="28" spans="1:49" s="1" customFormat="1" x14ac:dyDescent="0.25">
      <c r="A28" s="17">
        <v>10</v>
      </c>
      <c r="B28" s="16">
        <v>26.894244383382681</v>
      </c>
      <c r="C28" s="16">
        <v>6.0255025927410095</v>
      </c>
      <c r="D28" s="16">
        <v>1.3430810400988193</v>
      </c>
      <c r="E28" s="29">
        <v>2</v>
      </c>
      <c r="F28" s="3">
        <f t="shared" si="14"/>
        <v>1.6566643166094519</v>
      </c>
      <c r="G28" s="28">
        <v>6</v>
      </c>
      <c r="H28" s="28">
        <v>10</v>
      </c>
      <c r="I28" s="28">
        <v>6</v>
      </c>
      <c r="J28" s="28">
        <v>32</v>
      </c>
      <c r="K28" s="27">
        <v>12.06</v>
      </c>
      <c r="L28" s="12">
        <f t="shared" si="0"/>
        <v>0</v>
      </c>
      <c r="M28" s="16">
        <v>10.278873214721679</v>
      </c>
      <c r="N28" s="3">
        <f t="shared" si="1"/>
        <v>20.278873214721678</v>
      </c>
      <c r="O28" s="3">
        <f t="shared" si="15"/>
        <v>10.278873214721679</v>
      </c>
      <c r="P28" s="3">
        <f t="shared" si="29"/>
        <v>15.813486108918497</v>
      </c>
      <c r="Q28" s="3">
        <f t="shared" si="16"/>
        <v>0</v>
      </c>
      <c r="R28" s="6">
        <f t="shared" si="2"/>
        <v>26.894244383382681</v>
      </c>
      <c r="S28" s="3">
        <f t="shared" si="3"/>
        <v>6.0255025927410095</v>
      </c>
      <c r="T28" s="6">
        <f t="shared" si="17"/>
        <v>26.894244383382681</v>
      </c>
      <c r="U28" s="6">
        <f t="shared" si="4"/>
        <v>6.0255025927410095</v>
      </c>
      <c r="V28" s="6">
        <f t="shared" si="18"/>
        <v>3.6532676464676599</v>
      </c>
      <c r="W28" s="6">
        <f t="shared" si="19"/>
        <v>0.20475554339834129</v>
      </c>
      <c r="X28" s="6">
        <f t="shared" si="20"/>
        <v>0.87238661476759993</v>
      </c>
      <c r="Y28" s="6">
        <f t="shared" si="21"/>
        <v>0.8175323929254662</v>
      </c>
      <c r="Z28" s="12">
        <f t="shared" si="5"/>
        <v>11.069225788393634</v>
      </c>
      <c r="AA28" s="6">
        <f t="shared" si="6"/>
        <v>32.428857277579496</v>
      </c>
      <c r="AB28" s="16">
        <v>7</v>
      </c>
      <c r="AC28" s="16">
        <v>3</v>
      </c>
      <c r="AD28" s="27">
        <f t="shared" si="22"/>
        <v>21</v>
      </c>
      <c r="AE28" s="16">
        <v>20</v>
      </c>
      <c r="AF28" s="6">
        <f t="shared" si="7"/>
        <v>0.58457657338698243</v>
      </c>
      <c r="AG28" s="6">
        <f t="shared" si="8"/>
        <v>1.1895085714285716</v>
      </c>
      <c r="AH28" s="26">
        <f t="shared" si="23"/>
        <v>14.60253573870334</v>
      </c>
      <c r="AI28" s="6">
        <f t="shared" si="9"/>
        <v>32.428857277579496</v>
      </c>
      <c r="AJ28" s="6">
        <f t="shared" si="10"/>
        <v>4.997133814330267</v>
      </c>
      <c r="AK28" s="6">
        <f t="shared" si="11"/>
        <v>0.64013652686842071</v>
      </c>
      <c r="AL28" s="31">
        <f t="shared" si="24"/>
        <v>12.18457684793162</v>
      </c>
      <c r="AM28" s="6">
        <f t="shared" si="12"/>
        <v>23.253802636325254</v>
      </c>
      <c r="AN28" s="12">
        <f t="shared" si="13"/>
        <v>35.313802636325256</v>
      </c>
      <c r="AO28" s="1" t="str">
        <f t="shared" si="25"/>
        <v>B</v>
      </c>
      <c r="AQ28" s="17">
        <v>10</v>
      </c>
      <c r="AR28" s="6">
        <f t="shared" si="26"/>
        <v>12.06</v>
      </c>
      <c r="AS28" s="6">
        <f t="shared" si="27"/>
        <v>23.253802636325254</v>
      </c>
      <c r="AT28" s="6">
        <f t="shared" si="28"/>
        <v>35.313802636325256</v>
      </c>
      <c r="AU28" s="16">
        <v>-9.2688732147216797</v>
      </c>
      <c r="AV28" s="12">
        <f t="shared" si="30"/>
        <v>-44.582675851046936</v>
      </c>
      <c r="AW28" s="14"/>
    </row>
    <row r="29" spans="1:49" s="1" customFormat="1" x14ac:dyDescent="0.25">
      <c r="A29" s="17">
        <v>11</v>
      </c>
      <c r="B29" s="16">
        <v>30.978012965478399</v>
      </c>
      <c r="C29" s="16">
        <v>6.5506756860839452</v>
      </c>
      <c r="D29" s="16">
        <v>1.4809869745847239</v>
      </c>
      <c r="E29" s="29">
        <v>2</v>
      </c>
      <c r="F29" s="3">
        <f t="shared" si="14"/>
        <v>1.6105050056555454</v>
      </c>
      <c r="G29" s="28">
        <v>6</v>
      </c>
      <c r="H29" s="28">
        <v>10</v>
      </c>
      <c r="I29" s="28">
        <v>6</v>
      </c>
      <c r="J29" s="28">
        <v>32</v>
      </c>
      <c r="K29" s="27">
        <v>12.06</v>
      </c>
      <c r="L29" s="12">
        <f t="shared" si="0"/>
        <v>0</v>
      </c>
      <c r="M29" s="16">
        <v>14.3623054122924</v>
      </c>
      <c r="N29" s="3">
        <f t="shared" si="1"/>
        <v>24.3623054122924</v>
      </c>
      <c r="O29" s="3">
        <f t="shared" si="15"/>
        <v>14.3623054122924</v>
      </c>
      <c r="P29" s="3">
        <f t="shared" si="29"/>
        <v>19.18096714668167</v>
      </c>
      <c r="Q29" s="3">
        <f t="shared" si="16"/>
        <v>0</v>
      </c>
      <c r="R29" s="6">
        <f t="shared" si="2"/>
        <v>30.978012965478399</v>
      </c>
      <c r="S29" s="3">
        <f t="shared" si="3"/>
        <v>6.5506756860839452</v>
      </c>
      <c r="T29" s="6">
        <f t="shared" si="17"/>
        <v>30.978012965478399</v>
      </c>
      <c r="U29" s="6">
        <f t="shared" si="4"/>
        <v>6.5506756860839452</v>
      </c>
      <c r="V29" s="6">
        <f t="shared" si="18"/>
        <v>2.7404118112395683</v>
      </c>
      <c r="W29" s="6">
        <f t="shared" si="19"/>
        <v>0.2074108084321965</v>
      </c>
      <c r="X29" s="6">
        <f t="shared" si="20"/>
        <v>0.89318487838010618</v>
      </c>
      <c r="Y29" s="6">
        <f t="shared" si="21"/>
        <v>0.83538206285619743</v>
      </c>
      <c r="Z29" s="12">
        <f t="shared" si="5"/>
        <v>9.6373234687785398</v>
      </c>
      <c r="AA29" s="6">
        <f t="shared" si="6"/>
        <v>35.796674699867665</v>
      </c>
      <c r="AB29" s="16">
        <v>8</v>
      </c>
      <c r="AC29" s="16">
        <v>5</v>
      </c>
      <c r="AD29" s="27">
        <f t="shared" si="22"/>
        <v>40</v>
      </c>
      <c r="AE29" s="16">
        <v>20</v>
      </c>
      <c r="AF29" s="6">
        <f t="shared" si="7"/>
        <v>0.54888529318707779</v>
      </c>
      <c r="AG29" s="6">
        <f t="shared" si="8"/>
        <v>1.3214599999999999</v>
      </c>
      <c r="AH29" s="26">
        <f t="shared" si="23"/>
        <v>29.013198381399828</v>
      </c>
      <c r="AI29" s="6">
        <f t="shared" si="9"/>
        <v>35.796674699867665</v>
      </c>
      <c r="AJ29" s="6">
        <f t="shared" si="10"/>
        <v>5.6688761746046419</v>
      </c>
      <c r="AK29" s="6">
        <f t="shared" si="11"/>
        <v>0.68680133175167268</v>
      </c>
      <c r="AL29" s="31">
        <f t="shared" si="24"/>
        <v>21.853671062533458</v>
      </c>
      <c r="AM29" s="6">
        <f t="shared" si="12"/>
        <v>31.490994531311998</v>
      </c>
      <c r="AN29" s="12">
        <f t="shared" si="13"/>
        <v>43.550994531312</v>
      </c>
      <c r="AO29" s="1" t="str">
        <f t="shared" si="25"/>
        <v>B</v>
      </c>
      <c r="AQ29" s="17">
        <v>11</v>
      </c>
      <c r="AR29" s="6">
        <f t="shared" si="26"/>
        <v>12.06</v>
      </c>
      <c r="AS29" s="6">
        <f t="shared" si="27"/>
        <v>31.490994531311998</v>
      </c>
      <c r="AT29" s="6">
        <f t="shared" si="28"/>
        <v>43.550994531312</v>
      </c>
      <c r="AU29" s="16">
        <v>-13.352305412292401</v>
      </c>
      <c r="AV29" s="12">
        <f t="shared" si="30"/>
        <v>-56.903299943604402</v>
      </c>
      <c r="AW29" s="14"/>
    </row>
    <row r="30" spans="1:49" s="1" customFormat="1" x14ac:dyDescent="0.25">
      <c r="A30" s="17">
        <v>12</v>
      </c>
      <c r="B30" s="16">
        <v>39.526571770827204</v>
      </c>
      <c r="C30" s="16">
        <v>7.3854089349506369</v>
      </c>
      <c r="D30" s="16">
        <v>1.6100099303498585</v>
      </c>
      <c r="E30" s="29">
        <v>2</v>
      </c>
      <c r="F30" s="3">
        <f t="shared" si="14"/>
        <v>1.5483163272525706</v>
      </c>
      <c r="G30" s="28">
        <v>6</v>
      </c>
      <c r="H30" s="28">
        <v>10</v>
      </c>
      <c r="I30" s="28">
        <v>6</v>
      </c>
      <c r="J30" s="28">
        <v>32</v>
      </c>
      <c r="K30" s="27">
        <v>12.06</v>
      </c>
      <c r="L30" s="12">
        <f t="shared" si="0"/>
        <v>0</v>
      </c>
      <c r="M30" s="16">
        <v>22.909360656738201</v>
      </c>
      <c r="N30" s="3">
        <f t="shared" si="1"/>
        <v>32.909360656738201</v>
      </c>
      <c r="O30" s="3">
        <f t="shared" si="15"/>
        <v>22.909360656738201</v>
      </c>
      <c r="P30" s="3">
        <f t="shared" si="29"/>
        <v>26.644145781835505</v>
      </c>
      <c r="Q30" s="3">
        <f t="shared" si="16"/>
        <v>0</v>
      </c>
      <c r="R30" s="6">
        <f t="shared" si="2"/>
        <v>39.526571770827204</v>
      </c>
      <c r="S30" s="3">
        <f t="shared" si="3"/>
        <v>7.3854089349506369</v>
      </c>
      <c r="T30" s="6">
        <f t="shared" si="17"/>
        <v>39.526571770827204</v>
      </c>
      <c r="U30" s="6">
        <f t="shared" si="4"/>
        <v>7.3854089349506369</v>
      </c>
      <c r="V30" s="6">
        <f t="shared" si="18"/>
        <v>1.6466143222435321</v>
      </c>
      <c r="W30" s="6">
        <f t="shared" si="19"/>
        <v>0.20701510600653203</v>
      </c>
      <c r="X30" s="6">
        <f t="shared" si="20"/>
        <v>0.93020919275553116</v>
      </c>
      <c r="Y30" s="6">
        <f t="shared" si="21"/>
        <v>0.86185942662283554</v>
      </c>
      <c r="Z30" s="12">
        <f t="shared" si="5"/>
        <v>7.4695702501946064</v>
      </c>
      <c r="AA30" s="6">
        <f t="shared" si="6"/>
        <v>43.261356895924507</v>
      </c>
      <c r="AB30" s="16">
        <v>8</v>
      </c>
      <c r="AC30" s="16">
        <v>5</v>
      </c>
      <c r="AD30" s="27">
        <f t="shared" si="22"/>
        <v>40</v>
      </c>
      <c r="AE30" s="16">
        <v>20</v>
      </c>
      <c r="AF30" s="6">
        <f t="shared" si="7"/>
        <v>0.54888529318707779</v>
      </c>
      <c r="AG30" s="6">
        <f t="shared" si="8"/>
        <v>1.3214599999999999</v>
      </c>
      <c r="AH30" s="26">
        <f t="shared" si="23"/>
        <v>29.013198381399828</v>
      </c>
      <c r="AI30" s="6">
        <f t="shared" si="9"/>
        <v>43.261356895924507</v>
      </c>
      <c r="AJ30" s="6">
        <f t="shared" si="10"/>
        <v>6.7478210872238167</v>
      </c>
      <c r="AK30" s="6">
        <f t="shared" si="11"/>
        <v>0.76114553836104459</v>
      </c>
      <c r="AL30" s="31">
        <f t="shared" si="24"/>
        <v>26.779494092723464</v>
      </c>
      <c r="AM30" s="6">
        <f t="shared" si="12"/>
        <v>34.249064342918068</v>
      </c>
      <c r="AN30" s="12">
        <f t="shared" si="13"/>
        <v>46.30906434291807</v>
      </c>
      <c r="AO30" s="1" t="str">
        <f t="shared" si="25"/>
        <v>B</v>
      </c>
      <c r="AQ30" s="17">
        <v>12</v>
      </c>
      <c r="AR30" s="6">
        <f t="shared" si="26"/>
        <v>12.06</v>
      </c>
      <c r="AS30" s="6">
        <f t="shared" si="27"/>
        <v>34.249064342918068</v>
      </c>
      <c r="AT30" s="6">
        <f t="shared" si="28"/>
        <v>46.30906434291807</v>
      </c>
      <c r="AU30" s="16">
        <v>-21.8993606567382</v>
      </c>
      <c r="AV30" s="12">
        <f t="shared" si="30"/>
        <v>-68.208424999656273</v>
      </c>
      <c r="AW30" s="14"/>
    </row>
    <row r="31" spans="1:49" s="1" customFormat="1" x14ac:dyDescent="0.25">
      <c r="A31" s="17">
        <v>13</v>
      </c>
      <c r="B31" s="16">
        <v>41.071029272136201</v>
      </c>
      <c r="C31" s="16">
        <v>8.1714350143061854</v>
      </c>
      <c r="D31" s="16">
        <v>1.6100099303498585</v>
      </c>
      <c r="E31" s="29">
        <v>2</v>
      </c>
      <c r="F31" s="3">
        <f t="shared" si="14"/>
        <v>1.5483163272525706</v>
      </c>
      <c r="G31" s="28">
        <v>6</v>
      </c>
      <c r="H31" s="28">
        <v>10</v>
      </c>
      <c r="I31" s="28">
        <v>6</v>
      </c>
      <c r="J31" s="28">
        <v>32</v>
      </c>
      <c r="K31" s="27">
        <v>12.06</v>
      </c>
      <c r="L31" s="12">
        <f t="shared" si="0"/>
        <v>0</v>
      </c>
      <c r="M31" s="16">
        <v>24.449643859863201</v>
      </c>
      <c r="N31" s="3">
        <f t="shared" si="1"/>
        <v>34.449643859863201</v>
      </c>
      <c r="O31" s="3">
        <f t="shared" si="15"/>
        <v>24.449643859863201</v>
      </c>
      <c r="P31" s="3">
        <f t="shared" si="29"/>
        <v>28.267809863612342</v>
      </c>
      <c r="Q31" s="3">
        <f t="shared" si="16"/>
        <v>0</v>
      </c>
      <c r="R31" s="6">
        <f t="shared" si="2"/>
        <v>41.071029272136201</v>
      </c>
      <c r="S31" s="3">
        <f t="shared" si="3"/>
        <v>8.1714350143061854</v>
      </c>
      <c r="T31" s="6">
        <f t="shared" si="17"/>
        <v>41.071029272136201</v>
      </c>
      <c r="U31" s="6">
        <f t="shared" si="4"/>
        <v>8.1714350143061854</v>
      </c>
      <c r="V31" s="6">
        <f t="shared" si="18"/>
        <v>1.5198756615430948</v>
      </c>
      <c r="W31" s="6">
        <f t="shared" si="19"/>
        <v>0.22469975659998923</v>
      </c>
      <c r="X31" s="6">
        <f t="shared" si="20"/>
        <v>0.93617067600116999</v>
      </c>
      <c r="Y31" s="6">
        <f t="shared" si="21"/>
        <v>0.88409841958054325</v>
      </c>
      <c r="Z31" s="12">
        <f t="shared" si="5"/>
        <v>7.6363320074982823</v>
      </c>
      <c r="AA31" s="6">
        <f t="shared" si="6"/>
        <v>44.889195275885342</v>
      </c>
      <c r="AB31" s="16">
        <v>8</v>
      </c>
      <c r="AC31" s="16">
        <v>5</v>
      </c>
      <c r="AD31" s="27">
        <f t="shared" si="22"/>
        <v>40</v>
      </c>
      <c r="AE31" s="16">
        <v>20</v>
      </c>
      <c r="AF31" s="6">
        <f t="shared" si="7"/>
        <v>0.54888529318707779</v>
      </c>
      <c r="AG31" s="6">
        <f t="shared" si="8"/>
        <v>1.3214599999999999</v>
      </c>
      <c r="AH31" s="26">
        <f t="shared" si="23"/>
        <v>29.013198381399828</v>
      </c>
      <c r="AI31" s="6">
        <f t="shared" si="9"/>
        <v>44.889195275885342</v>
      </c>
      <c r="AJ31" s="6">
        <f t="shared" si="10"/>
        <v>7.476392584124107</v>
      </c>
      <c r="AK31" s="6">
        <f t="shared" si="11"/>
        <v>0.7736683306263703</v>
      </c>
      <c r="AL31" s="31">
        <f t="shared" si="24"/>
        <v>28.589224891178279</v>
      </c>
      <c r="AM31" s="6">
        <f t="shared" si="12"/>
        <v>36.225556898676558</v>
      </c>
      <c r="AN31" s="12">
        <f t="shared" si="13"/>
        <v>48.28555689867656</v>
      </c>
      <c r="AO31" s="1" t="str">
        <f t="shared" si="25"/>
        <v>B</v>
      </c>
      <c r="AQ31" s="17">
        <v>13</v>
      </c>
      <c r="AR31" s="6">
        <f t="shared" si="26"/>
        <v>12.06</v>
      </c>
      <c r="AS31" s="6">
        <f t="shared" si="27"/>
        <v>36.225556898676558</v>
      </c>
      <c r="AT31" s="6">
        <f t="shared" si="28"/>
        <v>48.28555689867656</v>
      </c>
      <c r="AU31" s="16">
        <v>-23.4396438598632</v>
      </c>
      <c r="AV31" s="12">
        <f t="shared" si="30"/>
        <v>-71.725200758539756</v>
      </c>
      <c r="AW31" s="14"/>
    </row>
    <row r="32" spans="1:49" s="1" customFormat="1" x14ac:dyDescent="0.25">
      <c r="A32" s="17">
        <v>14</v>
      </c>
      <c r="B32" s="16">
        <v>41.078170011007202</v>
      </c>
      <c r="C32" s="16">
        <v>8.7768027760089513</v>
      </c>
      <c r="D32" s="16">
        <v>1.6663991704932231</v>
      </c>
      <c r="E32" s="29">
        <v>2</v>
      </c>
      <c r="F32" s="3">
        <f t="shared" si="14"/>
        <v>1.5153293184418475</v>
      </c>
      <c r="G32" s="28">
        <v>6</v>
      </c>
      <c r="H32" s="28">
        <v>10</v>
      </c>
      <c r="I32" s="28">
        <v>10</v>
      </c>
      <c r="J32" s="28">
        <v>32</v>
      </c>
      <c r="K32" s="27">
        <v>12.06</v>
      </c>
      <c r="L32" s="12">
        <f t="shared" si="0"/>
        <v>0</v>
      </c>
      <c r="M32" s="16">
        <v>24.449643859863201</v>
      </c>
      <c r="N32" s="3">
        <f t="shared" si="1"/>
        <v>34.449643859863201</v>
      </c>
      <c r="O32" s="3">
        <f t="shared" si="15"/>
        <v>24.449643859863201</v>
      </c>
      <c r="P32" s="3">
        <f t="shared" si="29"/>
        <v>28.373455479507086</v>
      </c>
      <c r="Q32" s="3">
        <f t="shared" si="16"/>
        <v>0</v>
      </c>
      <c r="R32" s="6">
        <f t="shared" si="2"/>
        <v>41.078170011007202</v>
      </c>
      <c r="S32" s="3">
        <f t="shared" si="3"/>
        <v>8.7768027760089513</v>
      </c>
      <c r="T32" s="6">
        <f t="shared" si="17"/>
        <v>41.078170011007202</v>
      </c>
      <c r="U32" s="6">
        <f t="shared" si="4"/>
        <v>8.7768027760089513</v>
      </c>
      <c r="V32" s="6">
        <f t="shared" si="18"/>
        <v>1.5203581195107791</v>
      </c>
      <c r="W32" s="6">
        <f t="shared" si="19"/>
        <v>0.24132530267657418</v>
      </c>
      <c r="X32" s="6">
        <f t="shared" si="20"/>
        <v>0.93619780163460808</v>
      </c>
      <c r="Y32" s="6">
        <f t="shared" si="21"/>
        <v>0.9000372702014936</v>
      </c>
      <c r="Z32" s="12">
        <f t="shared" si="5"/>
        <v>7.8476232392877669</v>
      </c>
      <c r="AA32" s="6">
        <f t="shared" si="6"/>
        <v>45.001981630651088</v>
      </c>
      <c r="AB32" s="16">
        <v>8</v>
      </c>
      <c r="AC32" s="16">
        <v>5</v>
      </c>
      <c r="AD32" s="27">
        <f t="shared" si="22"/>
        <v>40</v>
      </c>
      <c r="AE32" s="16">
        <v>20</v>
      </c>
      <c r="AF32" s="6">
        <f t="shared" si="7"/>
        <v>0.54888529318707779</v>
      </c>
      <c r="AG32" s="6">
        <f t="shared" si="8"/>
        <v>1.3214599999999999</v>
      </c>
      <c r="AH32" s="26">
        <f t="shared" si="23"/>
        <v>29.013198381399828</v>
      </c>
      <c r="AI32" s="6">
        <f t="shared" si="9"/>
        <v>45.001981630651088</v>
      </c>
      <c r="AJ32" s="6">
        <f t="shared" si="10"/>
        <v>8.0115360151254613</v>
      </c>
      <c r="AK32" s="6">
        <f t="shared" si="11"/>
        <v>0.7743618524347996</v>
      </c>
      <c r="AL32" s="31">
        <f t="shared" si="24"/>
        <v>29.488238059573895</v>
      </c>
      <c r="AM32" s="6">
        <f t="shared" si="12"/>
        <v>37.335861298861658</v>
      </c>
      <c r="AN32" s="12">
        <f t="shared" si="13"/>
        <v>49.395861298861661</v>
      </c>
      <c r="AO32" s="1" t="str">
        <f t="shared" si="25"/>
        <v>B</v>
      </c>
      <c r="AQ32" s="17">
        <v>14</v>
      </c>
      <c r="AR32" s="6">
        <f t="shared" si="26"/>
        <v>12.06</v>
      </c>
      <c r="AS32" s="6">
        <f t="shared" si="27"/>
        <v>37.335861298861658</v>
      </c>
      <c r="AT32" s="6">
        <f t="shared" si="28"/>
        <v>49.395861298861661</v>
      </c>
      <c r="AU32" s="16">
        <v>-23.4396438598632</v>
      </c>
      <c r="AV32" s="12">
        <f t="shared" si="30"/>
        <v>-72.835505158724857</v>
      </c>
      <c r="AW32" s="14"/>
    </row>
    <row r="33" spans="1:49" s="1" customFormat="1" x14ac:dyDescent="0.25">
      <c r="A33" s="17">
        <v>15</v>
      </c>
      <c r="B33" s="16">
        <v>33.753990596764901</v>
      </c>
      <c r="C33" s="16">
        <v>8.915564060053029</v>
      </c>
      <c r="D33" s="16">
        <v>1.6663991704932231</v>
      </c>
      <c r="E33" s="29">
        <v>2</v>
      </c>
      <c r="F33" s="3">
        <f t="shared" si="14"/>
        <v>1.5153293184418475</v>
      </c>
      <c r="G33" s="28">
        <v>6</v>
      </c>
      <c r="H33" s="28">
        <v>10</v>
      </c>
      <c r="I33" s="28">
        <v>10</v>
      </c>
      <c r="J33" s="28">
        <v>32</v>
      </c>
      <c r="K33" s="27">
        <v>12.06</v>
      </c>
      <c r="L33" s="12">
        <f t="shared" si="0"/>
        <v>0</v>
      </c>
      <c r="M33" s="16">
        <v>17.119941482543901</v>
      </c>
      <c r="N33" s="3">
        <f t="shared" si="1"/>
        <v>27.119941482543901</v>
      </c>
      <c r="O33" s="3">
        <f t="shared" si="15"/>
        <v>17.119941482543901</v>
      </c>
      <c r="P33" s="3">
        <f t="shared" si="29"/>
        <v>22.165324679533526</v>
      </c>
      <c r="Q33" s="3">
        <f t="shared" si="16"/>
        <v>0</v>
      </c>
      <c r="R33" s="6">
        <f t="shared" si="2"/>
        <v>33.753990596764901</v>
      </c>
      <c r="S33" s="3">
        <f t="shared" si="3"/>
        <v>8.915564060053029</v>
      </c>
      <c r="T33" s="6">
        <f t="shared" si="17"/>
        <v>33.753990596764901</v>
      </c>
      <c r="U33" s="6">
        <f t="shared" si="4"/>
        <v>8.915564060053029</v>
      </c>
      <c r="V33" s="6">
        <f t="shared" si="18"/>
        <v>2.2970304243028621</v>
      </c>
      <c r="W33" s="6">
        <f t="shared" si="19"/>
        <v>0.27043215345390292</v>
      </c>
      <c r="X33" s="6">
        <f t="shared" si="20"/>
        <v>0.90605234731835571</v>
      </c>
      <c r="Y33" s="6">
        <f t="shared" si="21"/>
        <v>0.90268699436542166</v>
      </c>
      <c r="Z33" s="12">
        <f t="shared" si="5"/>
        <v>10.090766393979251</v>
      </c>
      <c r="AA33" s="6">
        <f t="shared" si="6"/>
        <v>38.799373793754526</v>
      </c>
      <c r="AB33" s="16">
        <v>8</v>
      </c>
      <c r="AC33" s="16">
        <v>5</v>
      </c>
      <c r="AD33" s="27">
        <f t="shared" si="22"/>
        <v>40</v>
      </c>
      <c r="AE33" s="16">
        <v>20</v>
      </c>
      <c r="AF33" s="6">
        <f t="shared" si="7"/>
        <v>0.54888529318707779</v>
      </c>
      <c r="AG33" s="6">
        <f t="shared" si="8"/>
        <v>1.3214599999999999</v>
      </c>
      <c r="AH33" s="26">
        <f t="shared" si="23"/>
        <v>29.013198381399828</v>
      </c>
      <c r="AI33" s="6">
        <f t="shared" si="9"/>
        <v>38.799373793754526</v>
      </c>
      <c r="AJ33" s="6">
        <f t="shared" si="10"/>
        <v>7.7562041863759719</v>
      </c>
      <c r="AK33" s="6">
        <f t="shared" si="11"/>
        <v>0.72013676567643858</v>
      </c>
      <c r="AL33" s="31">
        <f t="shared" si="24"/>
        <v>26.507959862137579</v>
      </c>
      <c r="AM33" s="6">
        <f t="shared" si="12"/>
        <v>36.598726256116834</v>
      </c>
      <c r="AN33" s="12">
        <f t="shared" si="13"/>
        <v>48.658726256116836</v>
      </c>
      <c r="AO33" s="1" t="str">
        <f t="shared" si="25"/>
        <v>B</v>
      </c>
      <c r="AQ33" s="17">
        <v>15</v>
      </c>
      <c r="AR33" s="6">
        <f t="shared" si="26"/>
        <v>12.06</v>
      </c>
      <c r="AS33" s="6">
        <f t="shared" si="27"/>
        <v>36.598726256116834</v>
      </c>
      <c r="AT33" s="6">
        <f t="shared" si="28"/>
        <v>48.658726256116836</v>
      </c>
      <c r="AU33" s="16">
        <v>-16.109941482543899</v>
      </c>
      <c r="AV33" s="12">
        <f t="shared" si="30"/>
        <v>-64.768667738660739</v>
      </c>
      <c r="AW33" s="14"/>
    </row>
    <row r="34" spans="1:49" s="1" customFormat="1" x14ac:dyDescent="0.25">
      <c r="A34" s="17">
        <v>16</v>
      </c>
      <c r="B34" s="16">
        <v>40.859034514044403</v>
      </c>
      <c r="C34" s="16">
        <v>8.8248692326046001</v>
      </c>
      <c r="D34" s="16">
        <v>1.6671357891628387</v>
      </c>
      <c r="E34" s="29">
        <v>2</v>
      </c>
      <c r="F34" s="3">
        <f t="shared" si="14"/>
        <v>1.5148748930087321</v>
      </c>
      <c r="G34" s="28">
        <v>6</v>
      </c>
      <c r="H34" s="28">
        <v>10</v>
      </c>
      <c r="I34" s="28">
        <v>6</v>
      </c>
      <c r="J34" s="28">
        <v>32</v>
      </c>
      <c r="K34" s="27">
        <v>12.06</v>
      </c>
      <c r="L34" s="12">
        <f t="shared" si="0"/>
        <v>0</v>
      </c>
      <c r="M34" s="16">
        <v>24.234773406982402</v>
      </c>
      <c r="N34" s="3">
        <f t="shared" si="1"/>
        <v>34.234773406982399</v>
      </c>
      <c r="O34" s="3">
        <f t="shared" si="15"/>
        <v>24.234773406982402</v>
      </c>
      <c r="P34" s="3">
        <f t="shared" si="29"/>
        <v>28.196815785468953</v>
      </c>
      <c r="Q34" s="3">
        <f t="shared" si="16"/>
        <v>0</v>
      </c>
      <c r="R34" s="6">
        <f t="shared" si="2"/>
        <v>40.859034514044403</v>
      </c>
      <c r="S34" s="3">
        <f t="shared" si="3"/>
        <v>8.8248692326046001</v>
      </c>
      <c r="T34" s="6">
        <f t="shared" si="17"/>
        <v>40.859034514044403</v>
      </c>
      <c r="U34" s="6">
        <f t="shared" si="4"/>
        <v>8.8248692326046001</v>
      </c>
      <c r="V34" s="6">
        <f t="shared" si="18"/>
        <v>1.5368929877678985</v>
      </c>
      <c r="W34" s="6">
        <f t="shared" si="19"/>
        <v>0.24329674169909685</v>
      </c>
      <c r="X34" s="6">
        <f t="shared" si="20"/>
        <v>0.93536357237162449</v>
      </c>
      <c r="Y34" s="6">
        <f t="shared" si="21"/>
        <v>0.90124291515115562</v>
      </c>
      <c r="Z34" s="12">
        <f t="shared" si="5"/>
        <v>7.9240847569730999</v>
      </c>
      <c r="AA34" s="6">
        <f t="shared" si="6"/>
        <v>44.821076892530954</v>
      </c>
      <c r="AB34" s="16">
        <v>8</v>
      </c>
      <c r="AC34" s="16">
        <v>5</v>
      </c>
      <c r="AD34" s="27">
        <f t="shared" si="22"/>
        <v>40</v>
      </c>
      <c r="AE34" s="16">
        <v>20</v>
      </c>
      <c r="AF34" s="6">
        <f t="shared" si="7"/>
        <v>0.54888529318707779</v>
      </c>
      <c r="AG34" s="6">
        <f t="shared" si="8"/>
        <v>1.3214599999999999</v>
      </c>
      <c r="AH34" s="26">
        <f t="shared" si="23"/>
        <v>29.013198381399828</v>
      </c>
      <c r="AI34" s="6">
        <f t="shared" si="9"/>
        <v>44.821076892530954</v>
      </c>
      <c r="AJ34" s="6">
        <f t="shared" si="10"/>
        <v>8.0447785184074139</v>
      </c>
      <c r="AK34" s="6">
        <f t="shared" si="11"/>
        <v>0.77310298547316147</v>
      </c>
      <c r="AL34" s="31">
        <f t="shared" si="24"/>
        <v>29.476731939372662</v>
      </c>
      <c r="AM34" s="6">
        <f t="shared" si="12"/>
        <v>37.400816696345764</v>
      </c>
      <c r="AN34" s="12">
        <f t="shared" si="13"/>
        <v>49.460816696345766</v>
      </c>
      <c r="AO34" s="1" t="str">
        <f t="shared" si="25"/>
        <v>B</v>
      </c>
      <c r="AQ34" s="17">
        <v>16</v>
      </c>
      <c r="AR34" s="6">
        <f t="shared" si="26"/>
        <v>12.06</v>
      </c>
      <c r="AS34" s="6">
        <f t="shared" si="27"/>
        <v>37.400816696345764</v>
      </c>
      <c r="AT34" s="6">
        <f t="shared" si="28"/>
        <v>49.460816696345766</v>
      </c>
      <c r="AU34" s="16">
        <v>-23.224773406982401</v>
      </c>
      <c r="AV34" s="12">
        <f t="shared" si="30"/>
        <v>-72.685590103328167</v>
      </c>
      <c r="AW34" s="14"/>
    </row>
    <row r="35" spans="1:49" s="1" customFormat="1" x14ac:dyDescent="0.25">
      <c r="A35" s="17">
        <v>17</v>
      </c>
      <c r="B35" s="16">
        <v>40.336721312767295</v>
      </c>
      <c r="C35" s="16">
        <v>8.8298835966964475</v>
      </c>
      <c r="D35" s="16">
        <v>1.6671357891628387</v>
      </c>
      <c r="E35" s="29">
        <v>2</v>
      </c>
      <c r="F35" s="3">
        <f t="shared" si="14"/>
        <v>1.5148748930087321</v>
      </c>
      <c r="G35" s="28">
        <v>6</v>
      </c>
      <c r="H35" s="28">
        <v>10</v>
      </c>
      <c r="I35" s="28">
        <v>6</v>
      </c>
      <c r="J35" s="28">
        <v>32</v>
      </c>
      <c r="K35" s="27">
        <v>12.06</v>
      </c>
      <c r="L35" s="12">
        <f t="shared" si="0"/>
        <v>0</v>
      </c>
      <c r="M35" s="16">
        <v>23.701799163818301</v>
      </c>
      <c r="N35" s="3">
        <f t="shared" si="1"/>
        <v>33.701799163818301</v>
      </c>
      <c r="O35" s="3">
        <f t="shared" si="15"/>
        <v>23.701799163818301</v>
      </c>
      <c r="P35" s="3">
        <f t="shared" si="29"/>
        <v>27.730983653875192</v>
      </c>
      <c r="Q35" s="3">
        <f t="shared" si="16"/>
        <v>0</v>
      </c>
      <c r="R35" s="6">
        <f t="shared" si="2"/>
        <v>40.336721312767295</v>
      </c>
      <c r="S35" s="3">
        <f t="shared" si="3"/>
        <v>8.8298835966964475</v>
      </c>
      <c r="T35" s="6">
        <f t="shared" si="17"/>
        <v>40.336721312767295</v>
      </c>
      <c r="U35" s="6">
        <f t="shared" si="4"/>
        <v>8.8298835966964475</v>
      </c>
      <c r="V35" s="6">
        <f t="shared" si="18"/>
        <v>1.5805809936922273</v>
      </c>
      <c r="W35" s="6">
        <f t="shared" si="19"/>
        <v>0.24500601422078258</v>
      </c>
      <c r="X35" s="6">
        <f t="shared" si="20"/>
        <v>0.93336003559059633</v>
      </c>
      <c r="Y35" s="6">
        <f t="shared" si="21"/>
        <v>0.90131292930546081</v>
      </c>
      <c r="Z35" s="12">
        <f t="shared" si="5"/>
        <v>8.0583689801137801</v>
      </c>
      <c r="AA35" s="6">
        <f t="shared" si="6"/>
        <v>44.365905802824187</v>
      </c>
      <c r="AB35" s="16">
        <v>8</v>
      </c>
      <c r="AC35" s="16">
        <v>5</v>
      </c>
      <c r="AD35" s="27">
        <f t="shared" si="22"/>
        <v>40</v>
      </c>
      <c r="AE35" s="16">
        <v>20</v>
      </c>
      <c r="AF35" s="6">
        <f t="shared" si="7"/>
        <v>0.54888529318707779</v>
      </c>
      <c r="AG35" s="6">
        <f t="shared" si="8"/>
        <v>1.3214599999999999</v>
      </c>
      <c r="AH35" s="26">
        <f t="shared" si="23"/>
        <v>29.013198381399828</v>
      </c>
      <c r="AI35" s="6">
        <f t="shared" si="9"/>
        <v>44.365905802824187</v>
      </c>
      <c r="AJ35" s="6">
        <f t="shared" si="10"/>
        <v>8.0279788594206369</v>
      </c>
      <c r="AK35" s="6">
        <f t="shared" si="11"/>
        <v>0.76944994536277278</v>
      </c>
      <c r="AL35" s="31">
        <f t="shared" si="24"/>
        <v>29.270727982829559</v>
      </c>
      <c r="AM35" s="6">
        <f t="shared" si="12"/>
        <v>37.329096962943339</v>
      </c>
      <c r="AN35" s="12">
        <f t="shared" si="13"/>
        <v>49.389096962943341</v>
      </c>
      <c r="AO35" s="1" t="str">
        <f t="shared" si="25"/>
        <v>B</v>
      </c>
      <c r="AQ35" s="17">
        <v>17</v>
      </c>
      <c r="AR35" s="6">
        <f t="shared" si="26"/>
        <v>12.06</v>
      </c>
      <c r="AS35" s="6">
        <f t="shared" si="27"/>
        <v>37.329096962943339</v>
      </c>
      <c r="AT35" s="6">
        <f t="shared" si="28"/>
        <v>49.389096962943341</v>
      </c>
      <c r="AU35" s="16">
        <v>-22.691799163818299</v>
      </c>
      <c r="AV35" s="12">
        <f t="shared" si="30"/>
        <v>-72.080896126761644</v>
      </c>
      <c r="AW35" s="14"/>
    </row>
    <row r="36" spans="1:49" s="1" customFormat="1" x14ac:dyDescent="0.25">
      <c r="A36" s="17">
        <v>18</v>
      </c>
      <c r="B36" s="16">
        <v>40.673446797854403</v>
      </c>
      <c r="C36" s="16">
        <v>8.3721616675947761</v>
      </c>
      <c r="D36" s="16">
        <v>1.796271370170843</v>
      </c>
      <c r="E36" s="29">
        <v>2</v>
      </c>
      <c r="F36" s="3">
        <f t="shared" si="14"/>
        <v>1.4257549380750616</v>
      </c>
      <c r="G36" s="28">
        <v>6</v>
      </c>
      <c r="H36" s="28">
        <v>10</v>
      </c>
      <c r="I36" s="28">
        <v>6</v>
      </c>
      <c r="J36" s="28">
        <v>32</v>
      </c>
      <c r="K36" s="27">
        <v>12.06</v>
      </c>
      <c r="L36" s="12">
        <f t="shared" si="0"/>
        <v>0</v>
      </c>
      <c r="M36" s="16">
        <v>24.010631332397402</v>
      </c>
      <c r="N36" s="3">
        <f t="shared" si="1"/>
        <v>34.010631332397402</v>
      </c>
      <c r="O36" s="3">
        <f t="shared" si="15"/>
        <v>24.010631332397402</v>
      </c>
      <c r="P36" s="3">
        <f t="shared" si="29"/>
        <v>27.637193745336827</v>
      </c>
      <c r="Q36" s="3">
        <f t="shared" si="16"/>
        <v>0</v>
      </c>
      <c r="R36" s="6">
        <f t="shared" si="2"/>
        <v>40.673446797854403</v>
      </c>
      <c r="S36" s="3">
        <f t="shared" si="3"/>
        <v>8.3721616675947761</v>
      </c>
      <c r="T36" s="6">
        <f t="shared" si="17"/>
        <v>40.673446797854403</v>
      </c>
      <c r="U36" s="6">
        <f t="shared" si="4"/>
        <v>8.3721616675947761</v>
      </c>
      <c r="V36" s="6">
        <f t="shared" si="18"/>
        <v>1.557372557068055</v>
      </c>
      <c r="W36" s="6">
        <f t="shared" si="19"/>
        <v>0.23134183786360088</v>
      </c>
      <c r="X36" s="6">
        <f t="shared" si="20"/>
        <v>0.93465413548464094</v>
      </c>
      <c r="Y36" s="6">
        <f t="shared" si="21"/>
        <v>0.88943519371852175</v>
      </c>
      <c r="Z36" s="12">
        <f t="shared" si="5"/>
        <v>7.2531248258788503</v>
      </c>
      <c r="AA36" s="6">
        <f t="shared" si="6"/>
        <v>44.300009210793831</v>
      </c>
      <c r="AB36" s="16">
        <v>8</v>
      </c>
      <c r="AC36" s="16">
        <v>5</v>
      </c>
      <c r="AD36" s="27">
        <f t="shared" si="22"/>
        <v>40</v>
      </c>
      <c r="AE36" s="16">
        <v>20</v>
      </c>
      <c r="AF36" s="6">
        <f t="shared" si="7"/>
        <v>0.54888529318707779</v>
      </c>
      <c r="AG36" s="6">
        <f t="shared" si="8"/>
        <v>1.3214599999999999</v>
      </c>
      <c r="AH36" s="26">
        <f t="shared" si="23"/>
        <v>29.013198381399828</v>
      </c>
      <c r="AI36" s="6">
        <f t="shared" si="9"/>
        <v>44.300009210793831</v>
      </c>
      <c r="AJ36" s="6">
        <f t="shared" si="10"/>
        <v>7.6867855839402903</v>
      </c>
      <c r="AK36" s="6">
        <f t="shared" si="11"/>
        <v>0.76837623254139331</v>
      </c>
      <c r="AL36" s="31">
        <f t="shared" si="24"/>
        <v>28.683325486158481</v>
      </c>
      <c r="AM36" s="6">
        <f t="shared" si="12"/>
        <v>35.93645031203733</v>
      </c>
      <c r="AN36" s="12">
        <f t="shared" si="13"/>
        <v>47.996450312037332</v>
      </c>
      <c r="AO36" s="1" t="str">
        <f t="shared" si="25"/>
        <v>B</v>
      </c>
      <c r="AQ36" s="17">
        <v>18</v>
      </c>
      <c r="AR36" s="6">
        <f t="shared" si="26"/>
        <v>12.06</v>
      </c>
      <c r="AS36" s="6">
        <f t="shared" si="27"/>
        <v>35.93645031203733</v>
      </c>
      <c r="AT36" s="6">
        <f t="shared" si="28"/>
        <v>47.996450312037332</v>
      </c>
      <c r="AU36" s="16">
        <v>-23.000631332397401</v>
      </c>
      <c r="AV36" s="12">
        <f t="shared" si="30"/>
        <v>-70.997081644434729</v>
      </c>
      <c r="AW36" s="14"/>
    </row>
    <row r="37" spans="1:49" s="1" customFormat="1" x14ac:dyDescent="0.25">
      <c r="A37" s="17">
        <v>19</v>
      </c>
      <c r="B37" s="16">
        <v>32.474651313505099</v>
      </c>
      <c r="C37" s="16">
        <v>7.7186877963484326</v>
      </c>
      <c r="D37" s="16">
        <v>1.796271370170843</v>
      </c>
      <c r="E37" s="29">
        <v>2</v>
      </c>
      <c r="F37" s="3">
        <f t="shared" si="14"/>
        <v>1.4257549380750616</v>
      </c>
      <c r="G37" s="28">
        <v>6</v>
      </c>
      <c r="H37" s="28">
        <v>10</v>
      </c>
      <c r="I37" s="28">
        <v>6</v>
      </c>
      <c r="J37" s="28">
        <v>32</v>
      </c>
      <c r="K37" s="27">
        <v>12.06</v>
      </c>
      <c r="L37" s="12">
        <f t="shared" si="0"/>
        <v>0</v>
      </c>
      <c r="M37" s="16">
        <v>15.8096063232421</v>
      </c>
      <c r="N37" s="3">
        <f t="shared" si="1"/>
        <v>25.8096063232421</v>
      </c>
      <c r="O37" s="3">
        <f t="shared" si="15"/>
        <v>15.8096063232421</v>
      </c>
      <c r="P37" s="3">
        <f t="shared" si="29"/>
        <v>20.328777663572456</v>
      </c>
      <c r="Q37" s="3">
        <f t="shared" si="16"/>
        <v>0</v>
      </c>
      <c r="R37" s="6">
        <f t="shared" si="2"/>
        <v>32.474651313505099</v>
      </c>
      <c r="S37" s="3">
        <f t="shared" si="3"/>
        <v>7.7186877963484326</v>
      </c>
      <c r="T37" s="6">
        <f t="shared" si="17"/>
        <v>32.474651313505099</v>
      </c>
      <c r="U37" s="6">
        <f t="shared" si="4"/>
        <v>7.7186877963484326</v>
      </c>
      <c r="V37" s="6">
        <f t="shared" si="18"/>
        <v>2.496858934448114</v>
      </c>
      <c r="W37" s="6">
        <f t="shared" si="19"/>
        <v>0.23869498297807595</v>
      </c>
      <c r="X37" s="6">
        <f t="shared" si="20"/>
        <v>0.90023629488488188</v>
      </c>
      <c r="Y37" s="6">
        <f t="shared" si="21"/>
        <v>0.87056648705335349</v>
      </c>
      <c r="Z37" s="12">
        <f t="shared" si="5"/>
        <v>9.0383426806607119</v>
      </c>
      <c r="AA37" s="6">
        <f t="shared" si="6"/>
        <v>36.993822653835451</v>
      </c>
      <c r="AB37" s="16">
        <v>7</v>
      </c>
      <c r="AC37" s="16">
        <v>3</v>
      </c>
      <c r="AD37" s="27">
        <f t="shared" si="22"/>
        <v>21</v>
      </c>
      <c r="AE37" s="16">
        <v>20</v>
      </c>
      <c r="AF37" s="6">
        <f t="shared" si="7"/>
        <v>0.58457657338698243</v>
      </c>
      <c r="AG37" s="6">
        <f t="shared" si="8"/>
        <v>1.1895085714285716</v>
      </c>
      <c r="AH37" s="26">
        <f t="shared" si="23"/>
        <v>14.60253573870334</v>
      </c>
      <c r="AI37" s="6">
        <f t="shared" si="9"/>
        <v>36.993822653835451</v>
      </c>
      <c r="AJ37" s="6">
        <f t="shared" si="10"/>
        <v>6.7757716505740522</v>
      </c>
      <c r="AK37" s="6">
        <f t="shared" si="11"/>
        <v>0.69975858496778887</v>
      </c>
      <c r="AL37" s="31">
        <f t="shared" si="24"/>
        <v>15.455035077759074</v>
      </c>
      <c r="AM37" s="6">
        <f t="shared" si="12"/>
        <v>24.493377758419786</v>
      </c>
      <c r="AN37" s="12">
        <f t="shared" si="13"/>
        <v>36.553377758419785</v>
      </c>
      <c r="AO37" s="1" t="str">
        <f t="shared" si="25"/>
        <v>B</v>
      </c>
      <c r="AQ37" s="17">
        <v>19</v>
      </c>
      <c r="AR37" s="6">
        <f t="shared" si="26"/>
        <v>12.06</v>
      </c>
      <c r="AS37" s="6">
        <f t="shared" si="27"/>
        <v>24.493377758419786</v>
      </c>
      <c r="AT37" s="6">
        <f t="shared" si="28"/>
        <v>36.553377758419785</v>
      </c>
      <c r="AU37" s="16">
        <v>-14.7996063232421</v>
      </c>
      <c r="AV37" s="12">
        <f t="shared" si="30"/>
        <v>-51.352984081661887</v>
      </c>
      <c r="AW37" s="14"/>
    </row>
    <row r="38" spans="1:49" s="1" customFormat="1" x14ac:dyDescent="0.25">
      <c r="A38" s="17">
        <v>20</v>
      </c>
      <c r="B38" s="16">
        <v>29.042189486032001</v>
      </c>
      <c r="C38" s="16">
        <v>7.032533289685869</v>
      </c>
      <c r="D38" s="16">
        <v>1.9891455710157826</v>
      </c>
      <c r="E38" s="29">
        <v>2</v>
      </c>
      <c r="F38" s="3">
        <f t="shared" si="14"/>
        <v>1.2567230640564062</v>
      </c>
      <c r="G38" s="28">
        <v>6</v>
      </c>
      <c r="H38" s="28">
        <v>10</v>
      </c>
      <c r="I38" s="28">
        <v>6</v>
      </c>
      <c r="J38" s="28">
        <v>32</v>
      </c>
      <c r="K38" s="27">
        <v>12.06</v>
      </c>
      <c r="L38" s="12">
        <f t="shared" si="0"/>
        <v>0</v>
      </c>
      <c r="M38" s="16">
        <v>12.383116493225</v>
      </c>
      <c r="N38" s="3">
        <f t="shared" si="1"/>
        <v>22.383116493225</v>
      </c>
      <c r="O38" s="3">
        <f t="shared" si="15"/>
        <v>12.383116493225</v>
      </c>
      <c r="P38" s="3">
        <f t="shared" si="29"/>
        <v>16.656027793503167</v>
      </c>
      <c r="Q38" s="3">
        <f t="shared" si="16"/>
        <v>0</v>
      </c>
      <c r="R38" s="6">
        <f t="shared" si="2"/>
        <v>29.042189486032001</v>
      </c>
      <c r="S38" s="3">
        <f t="shared" si="3"/>
        <v>7.032533289685869</v>
      </c>
      <c r="T38" s="6">
        <f t="shared" si="17"/>
        <v>29.042189486032001</v>
      </c>
      <c r="U38" s="6">
        <f t="shared" si="4"/>
        <v>7.032533289685869</v>
      </c>
      <c r="V38" s="6">
        <f t="shared" si="18"/>
        <v>3.1406436926393462</v>
      </c>
      <c r="W38" s="6">
        <f t="shared" si="19"/>
        <v>0.22996894002850077</v>
      </c>
      <c r="X38" s="6">
        <f t="shared" si="20"/>
        <v>0.88363042586959439</v>
      </c>
      <c r="Y38" s="6">
        <f t="shared" si="21"/>
        <v>0.85006365770046011</v>
      </c>
      <c r="Z38" s="12">
        <f t="shared" si="5"/>
        <v>8.5458226005563365</v>
      </c>
      <c r="AA38" s="6">
        <f t="shared" si="6"/>
        <v>33.315100786310168</v>
      </c>
      <c r="AB38" s="16">
        <v>7</v>
      </c>
      <c r="AC38" s="16">
        <v>3</v>
      </c>
      <c r="AD38" s="27">
        <f t="shared" si="22"/>
        <v>21</v>
      </c>
      <c r="AE38" s="16">
        <v>20</v>
      </c>
      <c r="AF38" s="6">
        <f t="shared" si="7"/>
        <v>0.58457657338698243</v>
      </c>
      <c r="AG38" s="6">
        <f t="shared" si="8"/>
        <v>1.1895085714285716</v>
      </c>
      <c r="AH38" s="26">
        <f t="shared" si="23"/>
        <v>14.60253573870334</v>
      </c>
      <c r="AI38" s="6">
        <f t="shared" si="9"/>
        <v>33.315100786310168</v>
      </c>
      <c r="AJ38" s="6">
        <f t="shared" si="10"/>
        <v>6.1305582016972711</v>
      </c>
      <c r="AK38" s="6">
        <f t="shared" si="11"/>
        <v>0.65223649398671868</v>
      </c>
      <c r="AL38" s="31">
        <f t="shared" si="24"/>
        <v>13.605004980433677</v>
      </c>
      <c r="AM38" s="6">
        <f t="shared" si="12"/>
        <v>22.150827580990011</v>
      </c>
      <c r="AN38" s="12">
        <f t="shared" si="13"/>
        <v>34.210827580990014</v>
      </c>
      <c r="AO38" s="1" t="str">
        <f t="shared" si="25"/>
        <v>B</v>
      </c>
      <c r="AQ38" s="17">
        <v>20</v>
      </c>
      <c r="AR38" s="6">
        <f t="shared" si="26"/>
        <v>12.06</v>
      </c>
      <c r="AS38" s="6">
        <f t="shared" si="27"/>
        <v>22.150827580990011</v>
      </c>
      <c r="AT38" s="6">
        <f t="shared" si="28"/>
        <v>34.210827580990014</v>
      </c>
      <c r="AU38" s="16">
        <v>-11.373116493225</v>
      </c>
      <c r="AV38" s="12">
        <f t="shared" si="30"/>
        <v>-45.583944074215012</v>
      </c>
      <c r="AW38" s="14"/>
    </row>
    <row r="39" spans="1:49" s="1" customFormat="1" x14ac:dyDescent="0.25">
      <c r="A39" s="17">
        <v>21</v>
      </c>
      <c r="B39" s="16">
        <v>30.749954683562699</v>
      </c>
      <c r="C39" s="16">
        <v>5.816887575090643</v>
      </c>
      <c r="D39" s="16">
        <v>2.2125878014249447</v>
      </c>
      <c r="E39" s="29">
        <v>2</v>
      </c>
      <c r="F39" s="3">
        <f t="shared" si="14"/>
        <v>1.0022202466849792</v>
      </c>
      <c r="G39" s="28">
        <v>6</v>
      </c>
      <c r="H39" s="28">
        <v>10</v>
      </c>
      <c r="I39" s="28">
        <v>6</v>
      </c>
      <c r="J39" s="28">
        <v>32</v>
      </c>
      <c r="K39" s="27">
        <v>12.06</v>
      </c>
      <c r="L39" s="12">
        <f t="shared" si="0"/>
        <v>0</v>
      </c>
      <c r="M39" s="16">
        <v>14.0704858398437</v>
      </c>
      <c r="N39" s="3">
        <f t="shared" si="1"/>
        <v>24.070485839843698</v>
      </c>
      <c r="O39" s="3">
        <f t="shared" si="15"/>
        <v>14.0704858398437</v>
      </c>
      <c r="P39" s="3">
        <f t="shared" si="29"/>
        <v>16.871854713052066</v>
      </c>
      <c r="Q39" s="3">
        <f t="shared" si="16"/>
        <v>0</v>
      </c>
      <c r="R39" s="6">
        <f t="shared" si="2"/>
        <v>30.749954683562699</v>
      </c>
      <c r="S39" s="3">
        <f t="shared" si="3"/>
        <v>5.816887575090643</v>
      </c>
      <c r="T39" s="6">
        <f t="shared" si="17"/>
        <v>30.749954683562699</v>
      </c>
      <c r="U39" s="6">
        <f t="shared" si="4"/>
        <v>5.816887575090643</v>
      </c>
      <c r="V39" s="6">
        <f t="shared" si="18"/>
        <v>2.7990528846831548</v>
      </c>
      <c r="W39" s="6">
        <f t="shared" si="19"/>
        <v>0.18485895524485163</v>
      </c>
      <c r="X39" s="6">
        <f t="shared" si="20"/>
        <v>0.89208557248378439</v>
      </c>
      <c r="Y39" s="6">
        <f t="shared" si="21"/>
        <v>0.81090549509228627</v>
      </c>
      <c r="Z39" s="12">
        <f t="shared" si="5"/>
        <v>5.6027377464167305</v>
      </c>
      <c r="AA39" s="6">
        <f t="shared" si="6"/>
        <v>33.551323556771067</v>
      </c>
      <c r="AB39" s="16">
        <v>7</v>
      </c>
      <c r="AC39" s="16">
        <v>3</v>
      </c>
      <c r="AD39" s="27">
        <f t="shared" si="22"/>
        <v>21</v>
      </c>
      <c r="AE39" s="16">
        <v>20</v>
      </c>
      <c r="AF39" s="6">
        <f t="shared" si="7"/>
        <v>0.58457657338698243</v>
      </c>
      <c r="AG39" s="6">
        <f t="shared" si="8"/>
        <v>1.1895085714285716</v>
      </c>
      <c r="AH39" s="26">
        <f t="shared" si="23"/>
        <v>14.60253573870334</v>
      </c>
      <c r="AI39" s="6">
        <f t="shared" si="9"/>
        <v>33.551323556771067</v>
      </c>
      <c r="AJ39" s="6">
        <f t="shared" si="10"/>
        <v>5.3312063540729753</v>
      </c>
      <c r="AK39" s="6">
        <f t="shared" si="11"/>
        <v>0.65507891388520123</v>
      </c>
      <c r="AL39" s="31">
        <f t="shared" si="24"/>
        <v>12.879868677610066</v>
      </c>
      <c r="AM39" s="6">
        <f t="shared" si="12"/>
        <v>18.482606424026798</v>
      </c>
      <c r="AN39" s="12">
        <f t="shared" si="13"/>
        <v>30.5426064240268</v>
      </c>
      <c r="AO39" s="1" t="str">
        <f t="shared" si="25"/>
        <v>B</v>
      </c>
      <c r="AQ39" s="17">
        <v>21</v>
      </c>
      <c r="AR39" s="6">
        <f t="shared" si="26"/>
        <v>12.06</v>
      </c>
      <c r="AS39" s="6">
        <f t="shared" si="27"/>
        <v>18.482606424026798</v>
      </c>
      <c r="AT39" s="6">
        <f t="shared" si="28"/>
        <v>30.5426064240268</v>
      </c>
      <c r="AU39" s="16">
        <v>-13.0604858398437</v>
      </c>
      <c r="AV39" s="12">
        <f t="shared" si="30"/>
        <v>-43.603092263870501</v>
      </c>
      <c r="AW39" s="14"/>
    </row>
    <row r="40" spans="1:49" s="1" customFormat="1" x14ac:dyDescent="0.25">
      <c r="A40" s="17">
        <v>22</v>
      </c>
      <c r="B40" s="16">
        <v>23.797032095257102</v>
      </c>
      <c r="C40" s="16">
        <v>4.5990957734030395</v>
      </c>
      <c r="D40" s="16">
        <v>2.2125878014249447</v>
      </c>
      <c r="E40" s="29">
        <v>2</v>
      </c>
      <c r="F40" s="3">
        <f t="shared" si="14"/>
        <v>1.0022202466849792</v>
      </c>
      <c r="G40" s="28">
        <v>6</v>
      </c>
      <c r="H40" s="28">
        <v>10</v>
      </c>
      <c r="I40" s="28">
        <v>6</v>
      </c>
      <c r="J40" s="28">
        <v>32</v>
      </c>
      <c r="K40" s="27">
        <v>12.06</v>
      </c>
      <c r="L40" s="12">
        <f t="shared" si="0"/>
        <v>0</v>
      </c>
      <c r="M40" s="16">
        <v>7.0944669342040996</v>
      </c>
      <c r="N40" s="3">
        <f t="shared" si="1"/>
        <v>17.0944669342041</v>
      </c>
      <c r="O40" s="3">
        <f t="shared" si="15"/>
        <v>7.0944669342040996</v>
      </c>
      <c r="P40" s="3">
        <f t="shared" si="29"/>
        <v>10.314346703989566</v>
      </c>
      <c r="Q40" s="3">
        <f t="shared" si="16"/>
        <v>0</v>
      </c>
      <c r="R40" s="6">
        <f t="shared" si="2"/>
        <v>23.797032095257102</v>
      </c>
      <c r="S40" s="3">
        <f t="shared" si="3"/>
        <v>4.5990957734030395</v>
      </c>
      <c r="T40" s="6">
        <f t="shared" si="17"/>
        <v>23.797032095257102</v>
      </c>
      <c r="U40" s="6">
        <f t="shared" si="4"/>
        <v>4.5990957734030395</v>
      </c>
      <c r="V40" s="6">
        <f t="shared" si="18"/>
        <v>4.6853777535650245</v>
      </c>
      <c r="W40" s="6">
        <f t="shared" si="19"/>
        <v>0.16614340988543308</v>
      </c>
      <c r="X40" s="6">
        <f t="shared" si="20"/>
        <v>0.8547771454245302</v>
      </c>
      <c r="Y40" s="6">
        <f t="shared" si="21"/>
        <v>0.76367589202702224</v>
      </c>
      <c r="Z40" s="12">
        <f t="shared" si="5"/>
        <v>6.4397595395709333</v>
      </c>
      <c r="AA40" s="6">
        <f t="shared" si="6"/>
        <v>27.016911865042569</v>
      </c>
      <c r="AB40" s="16">
        <v>7</v>
      </c>
      <c r="AC40" s="16">
        <v>3</v>
      </c>
      <c r="AD40" s="27">
        <f t="shared" si="22"/>
        <v>21</v>
      </c>
      <c r="AE40" s="16">
        <v>20</v>
      </c>
      <c r="AF40" s="6">
        <f t="shared" si="7"/>
        <v>0.58457657338698243</v>
      </c>
      <c r="AG40" s="6">
        <f t="shared" si="8"/>
        <v>1.1895085714285716</v>
      </c>
      <c r="AH40" s="26">
        <f t="shared" si="23"/>
        <v>14.60253573870334</v>
      </c>
      <c r="AI40" s="6">
        <f t="shared" si="9"/>
        <v>27.016911865042569</v>
      </c>
      <c r="AJ40" s="6">
        <f t="shared" si="10"/>
        <v>4.0509748218279933</v>
      </c>
      <c r="AK40" s="6">
        <f t="shared" si="11"/>
        <v>0.52904433871273826</v>
      </c>
      <c r="AL40" s="31">
        <f t="shared" si="24"/>
        <v>8.9768825805161399</v>
      </c>
      <c r="AM40" s="6">
        <f t="shared" si="12"/>
        <v>15.416642120087072</v>
      </c>
      <c r="AN40" s="12">
        <f t="shared" si="13"/>
        <v>27.476642120087071</v>
      </c>
      <c r="AO40" s="1" t="str">
        <f t="shared" si="25"/>
        <v>B</v>
      </c>
      <c r="AQ40" s="17">
        <v>22</v>
      </c>
      <c r="AR40" s="6">
        <f t="shared" si="26"/>
        <v>12.06</v>
      </c>
      <c r="AS40" s="6">
        <f t="shared" si="27"/>
        <v>15.416642120087072</v>
      </c>
      <c r="AT40" s="6">
        <f t="shared" si="28"/>
        <v>27.476642120087071</v>
      </c>
      <c r="AU40" s="16">
        <v>-6.0844669342040998</v>
      </c>
      <c r="AV40" s="12">
        <f t="shared" si="30"/>
        <v>-33.561109054291173</v>
      </c>
      <c r="AW40" s="14"/>
    </row>
    <row r="41" spans="1:49" s="1" customFormat="1" x14ac:dyDescent="0.25">
      <c r="A41" s="17">
        <v>23</v>
      </c>
      <c r="B41" s="16">
        <v>21.745029456028089</v>
      </c>
      <c r="C41" s="16">
        <v>3.7117647289177516</v>
      </c>
      <c r="D41" s="16">
        <v>2.5083667680833965</v>
      </c>
      <c r="E41" s="29">
        <v>2</v>
      </c>
      <c r="F41" s="3">
        <f t="shared" si="14"/>
        <v>0.53076420642112443</v>
      </c>
      <c r="G41" s="28">
        <v>6</v>
      </c>
      <c r="H41" s="28">
        <v>10</v>
      </c>
      <c r="I41" s="28">
        <v>6</v>
      </c>
      <c r="J41" s="28">
        <v>32</v>
      </c>
      <c r="K41" s="27">
        <v>12.06</v>
      </c>
      <c r="L41" s="12">
        <f t="shared" si="0"/>
        <v>0</v>
      </c>
      <c r="M41" s="16">
        <v>5.01527191162109</v>
      </c>
      <c r="N41" s="3">
        <f t="shared" si="1"/>
        <v>15.01527191162109</v>
      </c>
      <c r="O41" s="3">
        <f t="shared" si="15"/>
        <v>5.01527191162109</v>
      </c>
      <c r="P41" s="3">
        <f t="shared" si="29"/>
        <v>6.6474407954673387</v>
      </c>
      <c r="Q41" s="3">
        <f t="shared" si="16"/>
        <v>0</v>
      </c>
      <c r="R41" s="6">
        <f t="shared" si="2"/>
        <v>21.745029456028089</v>
      </c>
      <c r="S41" s="3">
        <f t="shared" si="3"/>
        <v>3.7117647289177516</v>
      </c>
      <c r="T41" s="6">
        <f t="shared" si="17"/>
        <v>21.745029456028089</v>
      </c>
      <c r="U41" s="6">
        <f t="shared" si="4"/>
        <v>3.7117647289177516</v>
      </c>
      <c r="V41" s="6">
        <f t="shared" si="18"/>
        <v>5.5887855776762887</v>
      </c>
      <c r="W41" s="6">
        <f t="shared" si="19"/>
        <v>0.14027248944178947</v>
      </c>
      <c r="X41" s="6">
        <f t="shared" si="20"/>
        <v>0.84202651811284246</v>
      </c>
      <c r="Y41" s="6">
        <f t="shared" si="21"/>
        <v>0.72350287900736165</v>
      </c>
      <c r="Z41" s="12">
        <f t="shared" si="5"/>
        <v>3.2643377676924974</v>
      </c>
      <c r="AA41" s="6">
        <f t="shared" si="6"/>
        <v>23.377198339874337</v>
      </c>
      <c r="AB41" s="16">
        <v>7</v>
      </c>
      <c r="AC41" s="16">
        <v>3</v>
      </c>
      <c r="AD41" s="27">
        <f t="shared" si="22"/>
        <v>21</v>
      </c>
      <c r="AE41" s="16">
        <v>20</v>
      </c>
      <c r="AF41" s="6">
        <f t="shared" si="7"/>
        <v>0.58457657338698243</v>
      </c>
      <c r="AG41" s="6">
        <f t="shared" si="8"/>
        <v>1.1895085714285716</v>
      </c>
      <c r="AH41" s="26">
        <f t="shared" si="23"/>
        <v>14.60253573870334</v>
      </c>
      <c r="AI41" s="6">
        <f t="shared" si="9"/>
        <v>23.377198339874337</v>
      </c>
      <c r="AJ41" s="6">
        <f t="shared" si="10"/>
        <v>3.4526136190790639</v>
      </c>
      <c r="AK41" s="6">
        <f t="shared" si="11"/>
        <v>0.4097200774310239</v>
      </c>
      <c r="AL41" s="31">
        <f t="shared" si="24"/>
        <v>6.3648754334162216</v>
      </c>
      <c r="AM41" s="6">
        <f t="shared" si="12"/>
        <v>9.629213201108719</v>
      </c>
      <c r="AN41" s="12">
        <f t="shared" si="13"/>
        <v>21.689213201108721</v>
      </c>
      <c r="AO41" s="1" t="str">
        <f t="shared" si="25"/>
        <v>B</v>
      </c>
      <c r="AQ41" s="17">
        <v>23</v>
      </c>
      <c r="AR41" s="6">
        <f t="shared" si="26"/>
        <v>12.06</v>
      </c>
      <c r="AS41" s="6">
        <f t="shared" si="27"/>
        <v>9.629213201108719</v>
      </c>
      <c r="AT41" s="6">
        <f t="shared" si="28"/>
        <v>21.689213201108721</v>
      </c>
      <c r="AU41" s="16">
        <v>-4.0052719116210902</v>
      </c>
      <c r="AV41" s="12">
        <f t="shared" si="30"/>
        <v>-25.694485112729812</v>
      </c>
      <c r="AW41" s="14"/>
    </row>
    <row r="42" spans="1:49" s="1" customFormat="1" x14ac:dyDescent="0.25">
      <c r="A42" s="17">
        <v>24</v>
      </c>
      <c r="B42" s="16">
        <v>21.134434864220133</v>
      </c>
      <c r="C42" s="16">
        <v>2.6880003013760736</v>
      </c>
      <c r="D42" s="16">
        <v>2.5083667680833965</v>
      </c>
      <c r="E42" s="29">
        <v>2</v>
      </c>
      <c r="F42" s="3">
        <f t="shared" si="14"/>
        <v>0.53076420642112443</v>
      </c>
      <c r="G42" s="28">
        <v>6</v>
      </c>
      <c r="H42" s="28">
        <v>10</v>
      </c>
      <c r="I42" s="28">
        <v>6</v>
      </c>
      <c r="J42" s="28">
        <v>32</v>
      </c>
      <c r="K42" s="27">
        <v>12.06</v>
      </c>
      <c r="L42" s="12">
        <f t="shared" si="0"/>
        <v>0</v>
      </c>
      <c r="M42" s="16">
        <v>4.3717851734161304</v>
      </c>
      <c r="N42" s="3">
        <f t="shared" si="1"/>
        <v>14.37178517341613</v>
      </c>
      <c r="O42" s="3">
        <f t="shared" si="15"/>
        <v>4.3717851734161304</v>
      </c>
      <c r="P42" s="3">
        <f>+M42+L42/2+Z42/2</f>
        <v>5.7268578504726211</v>
      </c>
      <c r="Q42" s="3">
        <f t="shared" si="16"/>
        <v>0</v>
      </c>
      <c r="R42" s="6">
        <f t="shared" si="2"/>
        <v>21.134434864220133</v>
      </c>
      <c r="S42" s="3">
        <f t="shared" si="3"/>
        <v>2.6880003013760736</v>
      </c>
      <c r="T42" s="6">
        <f t="shared" si="17"/>
        <v>21.134434864220133</v>
      </c>
      <c r="U42" s="6">
        <f t="shared" si="4"/>
        <v>2.6880003013760736</v>
      </c>
      <c r="V42" s="6">
        <f t="shared" si="18"/>
        <v>5.919563881351297</v>
      </c>
      <c r="W42" s="6">
        <f t="shared" si="19"/>
        <v>0.1030400492496503</v>
      </c>
      <c r="X42" s="6">
        <f t="shared" si="20"/>
        <v>0.83803895930626904</v>
      </c>
      <c r="Y42" s="6">
        <f t="shared" si="21"/>
        <v>0.6673299782388683</v>
      </c>
      <c r="Z42" s="12">
        <f t="shared" si="5"/>
        <v>2.710145354112981</v>
      </c>
      <c r="AA42" s="6">
        <f t="shared" si="6"/>
        <v>22.489507541276623</v>
      </c>
      <c r="AB42" s="16">
        <v>7</v>
      </c>
      <c r="AC42" s="16">
        <v>3</v>
      </c>
      <c r="AD42" s="27">
        <f t="shared" si="22"/>
        <v>21</v>
      </c>
      <c r="AE42" s="16">
        <v>20</v>
      </c>
      <c r="AF42" s="6">
        <f t="shared" si="7"/>
        <v>0.58457657338698243</v>
      </c>
      <c r="AG42" s="6">
        <f t="shared" si="8"/>
        <v>1.1895085714285716</v>
      </c>
      <c r="AH42" s="26">
        <f t="shared" si="23"/>
        <v>14.60253573870334</v>
      </c>
      <c r="AI42" s="6">
        <f t="shared" si="9"/>
        <v>22.489507541276623</v>
      </c>
      <c r="AJ42" s="6">
        <f t="shared" si="10"/>
        <v>2.5260387396287074</v>
      </c>
      <c r="AK42" s="6">
        <f t="shared" si="11"/>
        <v>0.36894945126996304</v>
      </c>
      <c r="AL42" s="31">
        <f t="shared" si="24"/>
        <v>4.9847733143478434</v>
      </c>
      <c r="AM42" s="6">
        <f t="shared" si="12"/>
        <v>7.694918668460824</v>
      </c>
      <c r="AN42" s="12">
        <f t="shared" si="13"/>
        <v>19.754918668460824</v>
      </c>
      <c r="AO42" s="1" t="str">
        <f t="shared" si="25"/>
        <v>B</v>
      </c>
      <c r="AQ42" s="17">
        <v>24</v>
      </c>
      <c r="AR42" s="6">
        <f t="shared" si="26"/>
        <v>12.06</v>
      </c>
      <c r="AS42" s="6">
        <f t="shared" si="27"/>
        <v>7.694918668460824</v>
      </c>
      <c r="AT42" s="6">
        <f t="shared" si="28"/>
        <v>19.754918668460824</v>
      </c>
      <c r="AU42" s="16">
        <v>-3.3617851734161301</v>
      </c>
      <c r="AV42" s="12">
        <f t="shared" si="30"/>
        <v>-23.116703841876955</v>
      </c>
      <c r="AW42" s="14"/>
    </row>
    <row r="43" spans="1:49" s="1" customFormat="1" ht="12.75" customHeight="1" x14ac:dyDescent="0.25">
      <c r="A43" s="17">
        <v>25</v>
      </c>
      <c r="B43" s="16">
        <v>20.498268047548407</v>
      </c>
      <c r="C43" s="16">
        <v>1.5092741418958684</v>
      </c>
      <c r="D43" s="16">
        <v>7.7939669553946225E-2</v>
      </c>
      <c r="E43" s="29">
        <v>2</v>
      </c>
      <c r="F43" s="3">
        <f t="shared" si="14"/>
        <v>1.0967612950400059</v>
      </c>
      <c r="G43" s="28">
        <v>6</v>
      </c>
      <c r="H43" s="28">
        <v>10</v>
      </c>
      <c r="I43" s="28">
        <v>6</v>
      </c>
      <c r="J43" s="28">
        <v>32</v>
      </c>
      <c r="K43" s="27">
        <v>12.06</v>
      </c>
      <c r="L43" s="12">
        <f t="shared" si="0"/>
        <v>0</v>
      </c>
      <c r="M43" s="16">
        <v>3.6696541404724101</v>
      </c>
      <c r="N43" s="3">
        <f t="shared" si="1"/>
        <v>13.66965414047241</v>
      </c>
      <c r="O43" s="3">
        <f t="shared" si="15"/>
        <v>3.6696541404724101</v>
      </c>
      <c r="P43" s="3">
        <f>+M43+L43/2+Z43/2</f>
        <v>5.6332661382325186</v>
      </c>
      <c r="Q43" s="3">
        <f t="shared" si="16"/>
        <v>0</v>
      </c>
      <c r="R43" s="6">
        <f t="shared" si="2"/>
        <v>20.498268047548407</v>
      </c>
      <c r="S43" s="3">
        <f t="shared" si="3"/>
        <v>1.5092741418958684</v>
      </c>
      <c r="T43" s="6">
        <f t="shared" si="17"/>
        <v>20.498268047548407</v>
      </c>
      <c r="U43" s="6">
        <f t="shared" si="4"/>
        <v>1.5092741418958684</v>
      </c>
      <c r="V43" s="6">
        <f t="shared" si="18"/>
        <v>6.3135711678402737</v>
      </c>
      <c r="W43" s="6">
        <f t="shared" si="19"/>
        <v>5.8746447827401994E-2</v>
      </c>
      <c r="X43" s="6">
        <f t="shared" si="20"/>
        <v>0.83378094113438295</v>
      </c>
      <c r="Y43" s="6">
        <f t="shared" si="21"/>
        <v>0.57757577853478492</v>
      </c>
      <c r="Z43" s="12">
        <f t="shared" si="5"/>
        <v>3.9272239955202166</v>
      </c>
      <c r="AA43" s="6">
        <f t="shared" si="6"/>
        <v>22.461880045308515</v>
      </c>
      <c r="AB43" s="16">
        <v>7</v>
      </c>
      <c r="AC43" s="16">
        <v>3</v>
      </c>
      <c r="AD43" s="27">
        <f t="shared" si="22"/>
        <v>21</v>
      </c>
      <c r="AE43" s="16">
        <v>20</v>
      </c>
      <c r="AF43" s="6">
        <f t="shared" si="7"/>
        <v>0.58457657338698243</v>
      </c>
      <c r="AG43" s="6">
        <f t="shared" si="8"/>
        <v>1.1895085714285716</v>
      </c>
      <c r="AH43" s="26">
        <f t="shared" si="23"/>
        <v>14.60253573870334</v>
      </c>
      <c r="AI43" s="6">
        <f t="shared" si="9"/>
        <v>22.461880045308515</v>
      </c>
      <c r="AJ43" s="6">
        <f t="shared" si="10"/>
        <v>1.3773337697205297</v>
      </c>
      <c r="AK43" s="6">
        <f t="shared" si="11"/>
        <v>0.36349827350076069</v>
      </c>
      <c r="AL43" s="31">
        <f t="shared" si="24"/>
        <v>3.7830883124314179</v>
      </c>
      <c r="AM43" s="6">
        <f t="shared" si="12"/>
        <v>7.710312307951634</v>
      </c>
      <c r="AN43" s="12">
        <f t="shared" si="13"/>
        <v>19.770312307951635</v>
      </c>
      <c r="AO43" s="1" t="str">
        <f t="shared" si="25"/>
        <v>B</v>
      </c>
      <c r="AQ43" s="17">
        <v>25</v>
      </c>
      <c r="AR43" s="6">
        <f t="shared" si="26"/>
        <v>12.06</v>
      </c>
      <c r="AS43" s="6">
        <f t="shared" ref="AS43:AS44" si="31">+AM43</f>
        <v>7.710312307951634</v>
      </c>
      <c r="AT43" s="6">
        <f t="shared" ref="AT43:AT44" si="32">+AN43</f>
        <v>19.770312307951635</v>
      </c>
      <c r="AU43" s="16">
        <v>-2.6596541404724099</v>
      </c>
      <c r="AV43" s="12">
        <f t="shared" si="30"/>
        <v>-22.429966448424043</v>
      </c>
      <c r="AW43" s="14"/>
    </row>
    <row r="44" spans="1:49" s="1" customFormat="1" x14ac:dyDescent="0.25">
      <c r="A44" s="17">
        <v>26</v>
      </c>
      <c r="B44" s="16">
        <v>20.304531511377078</v>
      </c>
      <c r="C44" s="16">
        <v>1.424142414847936</v>
      </c>
      <c r="D44" s="16">
        <v>7.7939669553946225E-2</v>
      </c>
      <c r="E44" s="29">
        <v>2</v>
      </c>
      <c r="F44" s="3">
        <f t="shared" si="14"/>
        <v>1.0967612950400059</v>
      </c>
      <c r="G44" s="28">
        <v>6</v>
      </c>
      <c r="H44" s="28">
        <v>10</v>
      </c>
      <c r="I44" s="28">
        <v>6</v>
      </c>
      <c r="J44" s="28">
        <v>32</v>
      </c>
      <c r="K44" s="27">
        <v>12.06</v>
      </c>
      <c r="L44" s="12">
        <f t="shared" si="0"/>
        <v>0</v>
      </c>
      <c r="M44" s="16">
        <v>3.4031224346160798</v>
      </c>
      <c r="N44" s="3">
        <f t="shared" si="1"/>
        <v>13.40312243461608</v>
      </c>
      <c r="O44" s="3">
        <f t="shared" si="15"/>
        <v>3.4031224346160798</v>
      </c>
      <c r="P44" s="3">
        <f>+M44+L44/2+Z44/2</f>
        <v>5.3184987907266095</v>
      </c>
      <c r="Q44" s="3">
        <f t="shared" si="16"/>
        <v>0</v>
      </c>
      <c r="R44" s="6">
        <f t="shared" si="2"/>
        <v>20.304531511377078</v>
      </c>
      <c r="S44" s="3">
        <f t="shared" si="3"/>
        <v>1.424142414847936</v>
      </c>
      <c r="T44" s="6">
        <f t="shared" si="17"/>
        <v>20.304531511377078</v>
      </c>
      <c r="U44" s="6">
        <f t="shared" si="4"/>
        <v>1.424142414847936</v>
      </c>
      <c r="V44" s="6">
        <f t="shared" si="18"/>
        <v>6.4702946397228986</v>
      </c>
      <c r="W44" s="6">
        <f t="shared" si="19"/>
        <v>5.5696640279606253E-2</v>
      </c>
      <c r="X44" s="6">
        <f t="shared" si="20"/>
        <v>0.83246234467923264</v>
      </c>
      <c r="Y44" s="6">
        <f t="shared" si="21"/>
        <v>0.56922592778909564</v>
      </c>
      <c r="Z44" s="12">
        <f t="shared" si="5"/>
        <v>3.8307527122210585</v>
      </c>
      <c r="AA44" s="6">
        <f t="shared" si="6"/>
        <v>22.219907867487606</v>
      </c>
      <c r="AB44" s="16">
        <v>7</v>
      </c>
      <c r="AC44" s="16">
        <v>3</v>
      </c>
      <c r="AD44" s="27">
        <f t="shared" si="22"/>
        <v>21</v>
      </c>
      <c r="AE44" s="16">
        <v>20</v>
      </c>
      <c r="AF44" s="6">
        <f t="shared" si="7"/>
        <v>0.58457657338698243</v>
      </c>
      <c r="AG44" s="6">
        <f t="shared" si="8"/>
        <v>1.1895085714285716</v>
      </c>
      <c r="AH44" s="26">
        <f t="shared" si="23"/>
        <v>14.60253573870334</v>
      </c>
      <c r="AI44" s="6">
        <f t="shared" si="9"/>
        <v>22.219907867487606</v>
      </c>
      <c r="AJ44" s="6">
        <f t="shared" si="10"/>
        <v>1.301380037730919</v>
      </c>
      <c r="AK44" s="6">
        <f t="shared" si="11"/>
        <v>0.3471009469916454</v>
      </c>
      <c r="AL44" s="31">
        <f t="shared" si="24"/>
        <v>3.5202364241666149</v>
      </c>
      <c r="AM44" s="6">
        <f t="shared" si="12"/>
        <v>7.3509891363876729</v>
      </c>
      <c r="AN44" s="12">
        <f t="shared" si="13"/>
        <v>19.410989136387673</v>
      </c>
      <c r="AO44" s="1" t="str">
        <f t="shared" si="25"/>
        <v>B</v>
      </c>
      <c r="AQ44" s="17">
        <v>26</v>
      </c>
      <c r="AR44" s="6">
        <f t="shared" si="26"/>
        <v>12.06</v>
      </c>
      <c r="AS44" s="6">
        <f t="shared" si="31"/>
        <v>7.3509891363876729</v>
      </c>
      <c r="AT44" s="6">
        <f t="shared" si="32"/>
        <v>19.410989136387673</v>
      </c>
      <c r="AU44" s="16">
        <v>-2.39312243461608</v>
      </c>
      <c r="AV44" s="12">
        <f t="shared" si="30"/>
        <v>-21.804111571003752</v>
      </c>
      <c r="AW44" s="14"/>
    </row>
    <row r="45" spans="1:49" ht="12.75" customHeight="1" x14ac:dyDescent="0.25">
      <c r="A45" s="17">
        <v>27</v>
      </c>
      <c r="B45" s="16">
        <v>19.824942990130033</v>
      </c>
      <c r="C45" s="16">
        <v>1.8635803798655237</v>
      </c>
      <c r="D45" s="16">
        <v>6.9500757629690199E-2</v>
      </c>
      <c r="E45" s="29">
        <v>2</v>
      </c>
      <c r="F45" s="3">
        <f t="shared" si="14"/>
        <v>1.0867109262453143</v>
      </c>
      <c r="G45" s="28">
        <v>4</v>
      </c>
      <c r="H45" s="28">
        <v>10</v>
      </c>
      <c r="I45" s="28">
        <v>6</v>
      </c>
      <c r="J45" s="28">
        <v>32</v>
      </c>
      <c r="K45" s="27">
        <v>12.06</v>
      </c>
      <c r="L45" s="12">
        <f t="shared" si="0"/>
        <v>0</v>
      </c>
      <c r="M45" s="16">
        <v>2.8611072056770297</v>
      </c>
      <c r="N45" s="3">
        <f t="shared" si="1"/>
        <v>12.86110720567703</v>
      </c>
      <c r="O45" s="3">
        <f t="shared" si="15"/>
        <v>2.8611072056770297</v>
      </c>
      <c r="P45" s="3">
        <f t="shared" ref="P45:P46" si="33">+M45+L45/2+Z45/2</f>
        <v>5.3370558240963568</v>
      </c>
      <c r="Q45" s="3">
        <f t="shared" si="16"/>
        <v>0</v>
      </c>
      <c r="R45" s="6">
        <f t="shared" si="2"/>
        <v>19.824942990130033</v>
      </c>
      <c r="S45" s="3">
        <f t="shared" ref="S45:S46" si="34">+C45*B45/R45</f>
        <v>1.8635803798655235</v>
      </c>
      <c r="T45" s="6">
        <f t="shared" si="17"/>
        <v>19.824942990130033</v>
      </c>
      <c r="U45" s="6">
        <f t="shared" si="4"/>
        <v>1.8635803798655235</v>
      </c>
      <c r="V45" s="6">
        <f t="shared" si="18"/>
        <v>6.814384281915876</v>
      </c>
      <c r="W45" s="6">
        <f t="shared" si="19"/>
        <v>7.3758864130605742E-2</v>
      </c>
      <c r="X45" s="6">
        <f t="shared" si="20"/>
        <v>0.82915252350713853</v>
      </c>
      <c r="Y45" s="6">
        <f t="shared" si="21"/>
        <v>0.64168710091768522</v>
      </c>
      <c r="Z45" s="12">
        <f t="shared" si="5"/>
        <v>4.9518972368386542</v>
      </c>
      <c r="AA45" s="6">
        <f t="shared" ref="AA45:AA46" si="35">+B45+L45/2+Z45/2</f>
        <v>22.30089160854936</v>
      </c>
      <c r="AB45" s="16">
        <v>7</v>
      </c>
      <c r="AC45" s="16">
        <v>3</v>
      </c>
      <c r="AD45" s="27">
        <f t="shared" si="22"/>
        <v>21</v>
      </c>
      <c r="AE45" s="16">
        <v>20</v>
      </c>
      <c r="AF45" s="6">
        <f t="shared" si="7"/>
        <v>0.58457657338698243</v>
      </c>
      <c r="AG45" s="6">
        <f t="shared" si="8"/>
        <v>1.1895085714285716</v>
      </c>
      <c r="AH45" s="26">
        <f t="shared" si="23"/>
        <v>14.60253573870334</v>
      </c>
      <c r="AI45" s="6">
        <f t="shared" si="9"/>
        <v>22.30089160854936</v>
      </c>
      <c r="AJ45" s="6">
        <f t="shared" si="10"/>
        <v>1.6566770260519694</v>
      </c>
      <c r="AK45" s="6">
        <f t="shared" si="11"/>
        <v>0.34704723100957746</v>
      </c>
      <c r="AL45" s="31">
        <f t="shared" si="24"/>
        <v>3.9065771781707794</v>
      </c>
      <c r="AM45" s="6">
        <f t="shared" si="12"/>
        <v>8.8584744150094341</v>
      </c>
      <c r="AN45" s="12">
        <f t="shared" si="13"/>
        <v>20.918474415009435</v>
      </c>
      <c r="AO45" s="1" t="str">
        <f t="shared" si="25"/>
        <v>B</v>
      </c>
      <c r="AQ45" s="17">
        <v>27</v>
      </c>
      <c r="AR45" s="6">
        <f t="shared" si="26"/>
        <v>12.06</v>
      </c>
      <c r="AS45" s="6">
        <f t="shared" ref="AS45:AS46" si="36">+AM45</f>
        <v>8.8584744150094341</v>
      </c>
      <c r="AT45" s="6">
        <f t="shared" ref="AT45:AT46" si="37">+AN45</f>
        <v>20.918474415009435</v>
      </c>
      <c r="AU45" s="16">
        <v>-1.8511072056770299</v>
      </c>
      <c r="AV45" s="12">
        <f t="shared" si="30"/>
        <v>-22.769581620686466</v>
      </c>
      <c r="AW45" s="14"/>
    </row>
    <row r="46" spans="1:49" x14ac:dyDescent="0.25">
      <c r="A46" s="22">
        <v>28</v>
      </c>
      <c r="B46" s="23">
        <v>15.915917641893159</v>
      </c>
      <c r="C46" s="23">
        <v>1.1763882703258171</v>
      </c>
      <c r="D46" s="23">
        <v>6.9500757629690199E-2</v>
      </c>
      <c r="E46" s="29">
        <v>2</v>
      </c>
      <c r="F46" s="3">
        <f t="shared" si="14"/>
        <v>1.0867109262453143</v>
      </c>
      <c r="G46" s="28">
        <v>4</v>
      </c>
      <c r="H46" s="28">
        <v>10</v>
      </c>
      <c r="I46" s="28">
        <v>6</v>
      </c>
      <c r="J46" s="28">
        <v>32</v>
      </c>
      <c r="K46" s="27">
        <v>12.06</v>
      </c>
      <c r="L46" s="12">
        <f t="shared" si="0"/>
        <v>0</v>
      </c>
      <c r="M46" s="23">
        <v>0</v>
      </c>
      <c r="N46" s="3">
        <f t="shared" si="1"/>
        <v>10</v>
      </c>
      <c r="O46" s="3">
        <f t="shared" si="15"/>
        <v>0</v>
      </c>
      <c r="P46" s="3">
        <f t="shared" si="33"/>
        <v>2.5813108273605931</v>
      </c>
      <c r="Q46" s="3">
        <f t="shared" si="16"/>
        <v>0</v>
      </c>
      <c r="R46" s="6">
        <f t="shared" si="2"/>
        <v>15.915917641893159</v>
      </c>
      <c r="S46" s="3">
        <f t="shared" si="34"/>
        <v>1.1763882703258171</v>
      </c>
      <c r="T46" s="6">
        <f t="shared" si="17"/>
        <v>10</v>
      </c>
      <c r="U46" s="6">
        <f t="shared" si="4"/>
        <v>1.136659924559384</v>
      </c>
      <c r="V46" s="6">
        <f t="shared" si="18"/>
        <v>12.326308773368163</v>
      </c>
      <c r="W46" s="6">
        <f t="shared" si="19"/>
        <v>5.1964518572053184E-2</v>
      </c>
      <c r="X46" s="6">
        <f t="shared" si="20"/>
        <v>0.79935135630234266</v>
      </c>
      <c r="Y46" s="6">
        <f t="shared" si="21"/>
        <v>0.5713431790768535</v>
      </c>
      <c r="Z46" s="12">
        <f t="shared" si="5"/>
        <v>5.1626216547211863</v>
      </c>
      <c r="AA46" s="6">
        <f t="shared" si="35"/>
        <v>18.497228469253752</v>
      </c>
      <c r="AB46" s="16">
        <v>7</v>
      </c>
      <c r="AC46" s="16">
        <v>3</v>
      </c>
      <c r="AD46" s="27">
        <f t="shared" si="22"/>
        <v>21</v>
      </c>
      <c r="AE46" s="16">
        <v>20</v>
      </c>
      <c r="AF46" s="6">
        <f t="shared" si="7"/>
        <v>0.58457657338698243</v>
      </c>
      <c r="AG46" s="6">
        <f t="shared" si="8"/>
        <v>1.1895085714285716</v>
      </c>
      <c r="AH46" s="26">
        <f t="shared" si="23"/>
        <v>14.60253573870334</v>
      </c>
      <c r="AI46" s="6">
        <f t="shared" si="9"/>
        <v>18.497228469253752</v>
      </c>
      <c r="AJ46" s="6">
        <f t="shared" si="10"/>
        <v>1.0122218502364759</v>
      </c>
      <c r="AK46" s="6">
        <f t="shared" si="11"/>
        <v>0.19143308263577907</v>
      </c>
      <c r="AL46" s="31">
        <f t="shared" si="24"/>
        <v>1.7000316053031652</v>
      </c>
      <c r="AM46" s="6">
        <f t="shared" si="12"/>
        <v>5.1626216547211863</v>
      </c>
      <c r="AN46" s="12">
        <f t="shared" si="13"/>
        <v>17.222621654721188</v>
      </c>
      <c r="AO46" s="1" t="str">
        <f t="shared" si="25"/>
        <v>A</v>
      </c>
      <c r="AQ46" s="22">
        <v>28</v>
      </c>
      <c r="AR46" s="6">
        <f t="shared" si="26"/>
        <v>12.06</v>
      </c>
      <c r="AS46" s="6">
        <f t="shared" si="36"/>
        <v>5.1626216547211863</v>
      </c>
      <c r="AT46" s="6">
        <f t="shared" si="37"/>
        <v>17.222621654721188</v>
      </c>
      <c r="AU46" s="23">
        <v>2.0832424163818399</v>
      </c>
      <c r="AV46" s="12">
        <f t="shared" si="30"/>
        <v>-15.139379238339348</v>
      </c>
    </row>
    <row r="49" spans="3:11" x14ac:dyDescent="0.25">
      <c r="C49" s="11"/>
      <c r="D49" s="11"/>
      <c r="E49" s="11"/>
      <c r="K49" s="11"/>
    </row>
  </sheetData>
  <mergeCells count="2">
    <mergeCell ref="AQ17:AV17"/>
    <mergeCell ref="A17:AN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F581-3DA7-4029-B7F4-A5D1A201F3E0}">
  <dimension ref="A1:D28"/>
  <sheetViews>
    <sheetView workbookViewId="0">
      <selection activeCell="B28" sqref="B28"/>
    </sheetView>
  </sheetViews>
  <sheetFormatPr defaultRowHeight="13.2" x14ac:dyDescent="0.25"/>
  <sheetData>
    <row r="1" spans="1:4" x14ac:dyDescent="0.25">
      <c r="A1" s="35" t="s">
        <v>42</v>
      </c>
      <c r="B1" s="35"/>
      <c r="C1" s="35"/>
    </row>
    <row r="2" spans="1:4" x14ac:dyDescent="0.25">
      <c r="A2" s="51" t="s">
        <v>43</v>
      </c>
      <c r="B2" s="52"/>
      <c r="C2" s="53"/>
    </row>
    <row r="3" spans="1:4" x14ac:dyDescent="0.25">
      <c r="A3" s="36" t="s">
        <v>44</v>
      </c>
      <c r="B3" s="37">
        <v>6.2368766499000001</v>
      </c>
      <c r="C3" s="36" t="s">
        <v>45</v>
      </c>
    </row>
    <row r="4" spans="1:4" x14ac:dyDescent="0.25">
      <c r="A4" s="36" t="s">
        <v>46</v>
      </c>
      <c r="B4" s="37">
        <v>42.166535461899997</v>
      </c>
      <c r="C4" s="36" t="s">
        <v>47</v>
      </c>
    </row>
    <row r="5" spans="1:4" x14ac:dyDescent="0.25">
      <c r="A5" s="36" t="s">
        <v>48</v>
      </c>
      <c r="B5" s="38">
        <f>+B4*(B8/B7)^(6/7)*(B9/B12)^B26</f>
        <v>54.112062803743548</v>
      </c>
      <c r="C5" s="36" t="s">
        <v>47</v>
      </c>
    </row>
    <row r="6" spans="1:4" x14ac:dyDescent="0.25">
      <c r="A6" s="36" t="s">
        <v>49</v>
      </c>
      <c r="B6" s="37">
        <v>41.5124672205</v>
      </c>
      <c r="C6" s="36" t="s">
        <v>47</v>
      </c>
    </row>
    <row r="7" spans="1:4" x14ac:dyDescent="0.25">
      <c r="A7" s="36" t="s">
        <v>50</v>
      </c>
      <c r="B7" s="39">
        <v>1898203.59915601</v>
      </c>
      <c r="C7" s="36" t="s">
        <v>51</v>
      </c>
    </row>
    <row r="8" spans="1:4" x14ac:dyDescent="0.25">
      <c r="A8" s="36" t="s">
        <v>52</v>
      </c>
      <c r="B8" s="39">
        <v>1763618.8998602701</v>
      </c>
      <c r="C8" s="36" t="s">
        <v>51</v>
      </c>
    </row>
    <row r="9" spans="1:4" x14ac:dyDescent="0.25">
      <c r="A9" s="36" t="s">
        <v>53</v>
      </c>
      <c r="B9" s="39">
        <v>7217.8477700000003</v>
      </c>
      <c r="C9" s="36" t="s">
        <v>47</v>
      </c>
    </row>
    <row r="10" spans="1:4" x14ac:dyDescent="0.25">
      <c r="A10" s="36" t="s">
        <v>54</v>
      </c>
      <c r="B10" s="37">
        <v>28</v>
      </c>
      <c r="C10" s="36"/>
    </row>
    <row r="11" spans="1:4" x14ac:dyDescent="0.25">
      <c r="A11" s="36" t="s">
        <v>27</v>
      </c>
      <c r="B11" s="37">
        <v>6</v>
      </c>
      <c r="C11" s="36" t="s">
        <v>47</v>
      </c>
    </row>
    <row r="12" spans="1:4" x14ac:dyDescent="0.25">
      <c r="A12" s="36" t="s">
        <v>55</v>
      </c>
      <c r="B12" s="40">
        <f>4757.21785-B10*B11</f>
        <v>4589.21785</v>
      </c>
      <c r="C12" s="36" t="s">
        <v>47</v>
      </c>
    </row>
    <row r="13" spans="1:4" x14ac:dyDescent="0.25">
      <c r="A13" s="51" t="s">
        <v>56</v>
      </c>
      <c r="B13" s="52"/>
      <c r="C13" s="53"/>
      <c r="D13" s="13"/>
    </row>
    <row r="14" spans="1:4" x14ac:dyDescent="0.25">
      <c r="A14" s="41" t="s">
        <v>57</v>
      </c>
      <c r="B14" s="42">
        <f>+SQRT(B15/B17)</f>
        <v>0.48594035396580704</v>
      </c>
      <c r="C14" s="43" t="s">
        <v>58</v>
      </c>
      <c r="D14" s="1"/>
    </row>
    <row r="15" spans="1:4" x14ac:dyDescent="0.25">
      <c r="A15" s="41" t="s">
        <v>59</v>
      </c>
      <c r="B15" s="44">
        <f>9.81*B4*3.2808*B16*B17</f>
        <v>236.13802761241382</v>
      </c>
      <c r="C15" s="43" t="s">
        <v>60</v>
      </c>
      <c r="D15" s="1"/>
    </row>
    <row r="16" spans="1:4" x14ac:dyDescent="0.25">
      <c r="A16" s="36" t="s">
        <v>61</v>
      </c>
      <c r="B16" s="37">
        <v>1.74E-4</v>
      </c>
      <c r="C16" s="36" t="s">
        <v>62</v>
      </c>
    </row>
    <row r="17" spans="1:4" x14ac:dyDescent="0.25">
      <c r="A17" s="36" t="s">
        <v>63</v>
      </c>
      <c r="B17" s="37">
        <v>1000</v>
      </c>
      <c r="C17" s="36" t="s">
        <v>64</v>
      </c>
    </row>
    <row r="18" spans="1:4" x14ac:dyDescent="0.25">
      <c r="A18" s="36" t="s">
        <v>65</v>
      </c>
      <c r="B18" s="37">
        <v>1.65</v>
      </c>
      <c r="C18" s="36"/>
    </row>
    <row r="19" spans="1:4" x14ac:dyDescent="0.25">
      <c r="A19" s="36" t="s">
        <v>66</v>
      </c>
      <c r="B19" s="37">
        <f>10^-6</f>
        <v>9.9999999999999995E-7</v>
      </c>
      <c r="C19" s="36" t="s">
        <v>67</v>
      </c>
    </row>
    <row r="20" spans="1:4" x14ac:dyDescent="0.25">
      <c r="A20" s="36" t="s">
        <v>68</v>
      </c>
      <c r="B20" s="37">
        <v>5.7000000000000002E-2</v>
      </c>
      <c r="C20" s="36" t="s">
        <v>6</v>
      </c>
    </row>
    <row r="21" spans="1:4" x14ac:dyDescent="0.25">
      <c r="A21" s="36" t="s">
        <v>69</v>
      </c>
      <c r="B21" s="45">
        <f>+B18*9.81*B20^3/1000^3/B19^2</f>
        <v>2.9976264945000004</v>
      </c>
      <c r="C21" s="36"/>
    </row>
    <row r="22" spans="1:4" x14ac:dyDescent="0.25">
      <c r="A22" s="36" t="s">
        <v>2</v>
      </c>
      <c r="B22" s="46">
        <f>0.055*TANH(12*B21^-0.59*EXP(-0.0004*B21))</f>
        <v>5.4999607213473752E-2</v>
      </c>
      <c r="C22" s="36"/>
    </row>
    <row r="23" spans="1:4" x14ac:dyDescent="0.25">
      <c r="A23" s="36" t="s">
        <v>14</v>
      </c>
      <c r="B23" s="46">
        <f>1.06*TANH(0.016*B21^0.5*EXP(-120/B21))</f>
        <v>1.2085940284539348E-19</v>
      </c>
      <c r="C23" s="36"/>
    </row>
    <row r="24" spans="1:4" x14ac:dyDescent="0.25">
      <c r="A24" s="36" t="s">
        <v>15</v>
      </c>
      <c r="B24" s="38">
        <f>+B22*B18*9.81*(B20/1000)^2/B19+B23*SQRT(B18*9.81*B20/1000)</f>
        <v>2.8924259608807414E-3</v>
      </c>
      <c r="C24" s="36" t="s">
        <v>58</v>
      </c>
    </row>
    <row r="25" spans="1:4" x14ac:dyDescent="0.25">
      <c r="A25" s="54" t="s">
        <v>70</v>
      </c>
      <c r="B25" s="55"/>
      <c r="C25" s="56"/>
      <c r="D25" t="s">
        <v>71</v>
      </c>
    </row>
    <row r="26" spans="1:4" x14ac:dyDescent="0.25">
      <c r="A26" s="36" t="s">
        <v>72</v>
      </c>
      <c r="B26" s="40">
        <f>+IF(B14/B24&lt;0.5,0.59,IF(B14/B24&lt;2,0.64,0.69))</f>
        <v>0.69</v>
      </c>
      <c r="C26" s="36"/>
    </row>
    <row r="28" spans="1:4" x14ac:dyDescent="0.25">
      <c r="A28" s="36" t="s">
        <v>73</v>
      </c>
      <c r="B28" s="38">
        <f>+B5-B6</f>
        <v>12.599595583243548</v>
      </c>
      <c r="C28" s="36" t="s">
        <v>47</v>
      </c>
    </row>
  </sheetData>
  <mergeCells count="3">
    <mergeCell ref="A2:C2"/>
    <mergeCell ref="A13:C13"/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7F8F-612C-4831-BC95-A29D689CECED}">
  <dimension ref="A1:I62"/>
  <sheetViews>
    <sheetView tabSelected="1" topLeftCell="F28" zoomScale="160" zoomScaleNormal="160" workbookViewId="0">
      <selection activeCell="S11" sqref="S11"/>
    </sheetView>
  </sheetViews>
  <sheetFormatPr defaultColWidth="9.109375" defaultRowHeight="13.2" x14ac:dyDescent="0.25"/>
  <cols>
    <col min="1" max="1" width="9.109375" style="15"/>
    <col min="2" max="4" width="9.109375" style="18"/>
    <col min="5" max="5" width="9.109375" style="15"/>
    <col min="6" max="8" width="9.109375" style="18"/>
    <col min="9" max="9" width="9.109375" style="15"/>
    <col min="10" max="10" width="10" style="18" customWidth="1"/>
    <col min="11" max="16384" width="9.109375" style="18"/>
  </cols>
  <sheetData>
    <row r="1" spans="1:9" x14ac:dyDescent="0.25">
      <c r="A1" s="18"/>
    </row>
    <row r="2" spans="1:9" x14ac:dyDescent="0.25">
      <c r="A2" s="18"/>
    </row>
    <row r="3" spans="1:9" x14ac:dyDescent="0.25">
      <c r="A3" s="18"/>
    </row>
    <row r="4" spans="1:9" x14ac:dyDescent="0.25">
      <c r="A4" s="18"/>
    </row>
    <row r="5" spans="1:9" x14ac:dyDescent="0.25">
      <c r="A5" s="18"/>
      <c r="E5" s="18"/>
      <c r="I5" s="18"/>
    </row>
    <row r="6" spans="1:9" x14ac:dyDescent="0.25">
      <c r="A6" s="18"/>
      <c r="E6" s="18"/>
      <c r="I6" s="18"/>
    </row>
    <row r="7" spans="1:9" x14ac:dyDescent="0.25">
      <c r="A7" s="18"/>
      <c r="E7" s="18"/>
      <c r="I7" s="18"/>
    </row>
    <row r="8" spans="1:9" x14ac:dyDescent="0.25">
      <c r="A8" s="18"/>
      <c r="E8" s="18"/>
      <c r="I8" s="18"/>
    </row>
    <row r="9" spans="1:9" x14ac:dyDescent="0.25">
      <c r="A9" s="18"/>
      <c r="E9" s="18"/>
      <c r="I9" s="18"/>
    </row>
    <row r="10" spans="1:9" x14ac:dyDescent="0.25">
      <c r="A10" s="18"/>
      <c r="E10" s="18"/>
      <c r="I10" s="18"/>
    </row>
    <row r="11" spans="1:9" x14ac:dyDescent="0.25">
      <c r="A11" s="18"/>
      <c r="E11" s="18"/>
      <c r="I11" s="18"/>
    </row>
    <row r="12" spans="1:9" x14ac:dyDescent="0.25">
      <c r="A12" s="18"/>
      <c r="E12" s="18"/>
      <c r="I12" s="18"/>
    </row>
    <row r="13" spans="1:9" x14ac:dyDescent="0.25">
      <c r="A13" s="18"/>
      <c r="E13" s="18"/>
      <c r="I13" s="18"/>
    </row>
    <row r="14" spans="1:9" x14ac:dyDescent="0.25">
      <c r="A14" s="18"/>
      <c r="E14" s="18"/>
      <c r="I14" s="18"/>
    </row>
    <row r="15" spans="1:9" x14ac:dyDescent="0.25">
      <c r="A15" s="18"/>
      <c r="E15" s="18"/>
      <c r="I15" s="18"/>
    </row>
    <row r="16" spans="1:9" x14ac:dyDescent="0.25">
      <c r="A16" s="18"/>
      <c r="E16" s="18"/>
      <c r="I16" s="18"/>
    </row>
    <row r="17" spans="5:9" x14ac:dyDescent="0.25">
      <c r="E17" s="18"/>
      <c r="I17" s="18"/>
    </row>
    <row r="18" spans="5:9" x14ac:dyDescent="0.25">
      <c r="E18" s="18"/>
      <c r="I18" s="18"/>
    </row>
    <row r="19" spans="5:9" x14ac:dyDescent="0.25">
      <c r="E19" s="18"/>
      <c r="I19" s="18"/>
    </row>
    <row r="20" spans="5:9" x14ac:dyDescent="0.25">
      <c r="E20" s="18"/>
      <c r="I20" s="18"/>
    </row>
    <row r="21" spans="5:9" x14ac:dyDescent="0.25">
      <c r="E21" s="18"/>
      <c r="I21" s="18"/>
    </row>
    <row r="22" spans="5:9" x14ac:dyDescent="0.25">
      <c r="E22" s="18"/>
      <c r="I22" s="18"/>
    </row>
    <row r="23" spans="5:9" x14ac:dyDescent="0.25">
      <c r="E23" s="18"/>
      <c r="I23" s="18"/>
    </row>
    <row r="24" spans="5:9" x14ac:dyDescent="0.25">
      <c r="E24" s="18"/>
      <c r="I24" s="18"/>
    </row>
    <row r="25" spans="5:9" x14ac:dyDescent="0.25">
      <c r="E25" s="18"/>
      <c r="I25" s="18"/>
    </row>
    <row r="26" spans="5:9" x14ac:dyDescent="0.25">
      <c r="E26" s="18"/>
      <c r="I26" s="18"/>
    </row>
    <row r="27" spans="5:9" x14ac:dyDescent="0.25">
      <c r="E27" s="18"/>
      <c r="I27" s="18"/>
    </row>
    <row r="28" spans="5:9" x14ac:dyDescent="0.25">
      <c r="E28" s="18"/>
      <c r="I28" s="18"/>
    </row>
    <row r="29" spans="5:9" x14ac:dyDescent="0.25">
      <c r="E29" s="18"/>
      <c r="I29" s="18"/>
    </row>
    <row r="30" spans="5:9" x14ac:dyDescent="0.25">
      <c r="E30" s="18"/>
      <c r="I30" s="18"/>
    </row>
    <row r="31" spans="5:9" x14ac:dyDescent="0.25">
      <c r="E31" s="18"/>
      <c r="I31" s="18"/>
    </row>
    <row r="32" spans="5:9" x14ac:dyDescent="0.25">
      <c r="E32" s="18"/>
      <c r="I32" s="18"/>
    </row>
    <row r="33" spans="5:9" x14ac:dyDescent="0.25">
      <c r="E33" s="18"/>
      <c r="I33" s="18"/>
    </row>
    <row r="34" spans="5:9" x14ac:dyDescent="0.25">
      <c r="E34" s="18"/>
      <c r="I34" s="18"/>
    </row>
    <row r="35" spans="5:9" x14ac:dyDescent="0.25">
      <c r="E35" s="18"/>
      <c r="I35" s="18"/>
    </row>
    <row r="36" spans="5:9" x14ac:dyDescent="0.25">
      <c r="E36" s="18"/>
      <c r="I36" s="18"/>
    </row>
    <row r="37" spans="5:9" x14ac:dyDescent="0.25">
      <c r="E37" s="18"/>
      <c r="I37" s="18"/>
    </row>
    <row r="38" spans="5:9" x14ac:dyDescent="0.25">
      <c r="E38" s="18"/>
      <c r="I38" s="18"/>
    </row>
    <row r="39" spans="5:9" x14ac:dyDescent="0.25">
      <c r="E39" s="18"/>
      <c r="I39" s="18"/>
    </row>
    <row r="40" spans="5:9" x14ac:dyDescent="0.25">
      <c r="E40" s="18"/>
      <c r="I40" s="18"/>
    </row>
    <row r="41" spans="5:9" x14ac:dyDescent="0.25">
      <c r="E41" s="18"/>
      <c r="I41" s="18"/>
    </row>
    <row r="42" spans="5:9" x14ac:dyDescent="0.25">
      <c r="E42" s="18"/>
      <c r="I42" s="18"/>
    </row>
    <row r="43" spans="5:9" x14ac:dyDescent="0.25">
      <c r="E43" s="18"/>
      <c r="I43" s="18"/>
    </row>
    <row r="44" spans="5:9" x14ac:dyDescent="0.25">
      <c r="E44" s="18"/>
      <c r="I44" s="18"/>
    </row>
    <row r="45" spans="5:9" x14ac:dyDescent="0.25">
      <c r="E45" s="18"/>
      <c r="I45" s="18"/>
    </row>
    <row r="46" spans="5:9" x14ac:dyDescent="0.25">
      <c r="E46" s="18"/>
      <c r="I46" s="18"/>
    </row>
    <row r="47" spans="5:9" x14ac:dyDescent="0.25">
      <c r="E47" s="18"/>
      <c r="I47" s="18"/>
    </row>
    <row r="48" spans="5:9" x14ac:dyDescent="0.25">
      <c r="E48" s="18"/>
      <c r="I48" s="18"/>
    </row>
    <row r="49" spans="5:9" x14ac:dyDescent="0.25">
      <c r="E49" s="18"/>
      <c r="I49" s="18"/>
    </row>
    <row r="50" spans="5:9" x14ac:dyDescent="0.25">
      <c r="E50" s="18"/>
      <c r="I50" s="18"/>
    </row>
    <row r="51" spans="5:9" x14ac:dyDescent="0.25">
      <c r="E51" s="18"/>
      <c r="I51" s="18"/>
    </row>
    <row r="52" spans="5:9" x14ac:dyDescent="0.25">
      <c r="E52" s="18"/>
      <c r="I52" s="18"/>
    </row>
    <row r="53" spans="5:9" x14ac:dyDescent="0.25">
      <c r="E53" s="18"/>
      <c r="I53" s="18"/>
    </row>
    <row r="54" spans="5:9" x14ac:dyDescent="0.25">
      <c r="E54" s="18"/>
      <c r="I54" s="18"/>
    </row>
    <row r="55" spans="5:9" x14ac:dyDescent="0.25">
      <c r="E55" s="18"/>
      <c r="I55" s="18"/>
    </row>
    <row r="56" spans="5:9" x14ac:dyDescent="0.25">
      <c r="E56" s="18"/>
      <c r="I56" s="18"/>
    </row>
    <row r="57" spans="5:9" x14ac:dyDescent="0.25">
      <c r="E57" s="18"/>
      <c r="I57" s="18"/>
    </row>
    <row r="58" spans="5:9" x14ac:dyDescent="0.25">
      <c r="E58" s="18"/>
      <c r="I58" s="18"/>
    </row>
    <row r="59" spans="5:9" x14ac:dyDescent="0.25">
      <c r="E59" s="18"/>
      <c r="I59" s="18"/>
    </row>
    <row r="60" spans="5:9" x14ac:dyDescent="0.25">
      <c r="E60" s="18"/>
      <c r="I60" s="18"/>
    </row>
    <row r="61" spans="5:9" x14ac:dyDescent="0.25">
      <c r="E61" s="18"/>
      <c r="I61" s="18"/>
    </row>
    <row r="62" spans="5:9" x14ac:dyDescent="0.25">
      <c r="E62" s="18"/>
      <c r="I62" s="1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92E3-6C54-431A-A064-AAA4D5E7871A}">
  <dimension ref="A1:D28"/>
  <sheetViews>
    <sheetView workbookViewId="0">
      <selection activeCell="E32" sqref="E32"/>
    </sheetView>
  </sheetViews>
  <sheetFormatPr defaultRowHeight="13.2" x14ac:dyDescent="0.25"/>
  <sheetData>
    <row r="1" spans="1:4" x14ac:dyDescent="0.25">
      <c r="A1" s="35" t="s">
        <v>42</v>
      </c>
      <c r="B1" s="35"/>
      <c r="C1" s="35"/>
    </row>
    <row r="2" spans="1:4" x14ac:dyDescent="0.25">
      <c r="A2" s="51" t="s">
        <v>43</v>
      </c>
      <c r="B2" s="52"/>
      <c r="C2" s="53"/>
    </row>
    <row r="3" spans="1:4" x14ac:dyDescent="0.25">
      <c r="A3" s="36" t="s">
        <v>44</v>
      </c>
      <c r="B3" s="37">
        <v>9.9896999999999991</v>
      </c>
      <c r="C3" s="36" t="s">
        <v>45</v>
      </c>
    </row>
    <row r="4" spans="1:4" x14ac:dyDescent="0.25">
      <c r="A4" s="36" t="s">
        <v>46</v>
      </c>
      <c r="B4" s="37">
        <v>50.514494967389503</v>
      </c>
      <c r="C4" s="36" t="s">
        <v>47</v>
      </c>
    </row>
    <row r="5" spans="1:4" x14ac:dyDescent="0.25">
      <c r="A5" s="36" t="s">
        <v>48</v>
      </c>
      <c r="B5" s="38">
        <f>+B4*(B8/B7)^(6/7)*(B9/B12)^B26</f>
        <v>33.183460421045986</v>
      </c>
      <c r="C5" s="36" t="s">
        <v>47</v>
      </c>
    </row>
    <row r="6" spans="1:4" x14ac:dyDescent="0.25">
      <c r="A6" s="36" t="s">
        <v>49</v>
      </c>
      <c r="B6" s="37">
        <v>41.5124672205</v>
      </c>
      <c r="C6" s="36" t="s">
        <v>47</v>
      </c>
    </row>
    <row r="7" spans="1:4" x14ac:dyDescent="0.25">
      <c r="A7" s="36" t="s">
        <v>50</v>
      </c>
      <c r="B7" s="39">
        <v>1433743.2656387</v>
      </c>
      <c r="C7" s="36" t="s">
        <v>51</v>
      </c>
    </row>
    <row r="8" spans="1:4" x14ac:dyDescent="0.25">
      <c r="A8" s="36" t="s">
        <v>52</v>
      </c>
      <c r="B8" s="39">
        <v>2188048.4256068701</v>
      </c>
      <c r="C8" s="36" t="s">
        <v>51</v>
      </c>
    </row>
    <row r="9" spans="1:4" x14ac:dyDescent="0.25">
      <c r="A9" s="36" t="s">
        <v>53</v>
      </c>
      <c r="B9" s="39">
        <v>1476.3779500000001</v>
      </c>
      <c r="C9" s="36" t="s">
        <v>47</v>
      </c>
    </row>
    <row r="10" spans="1:4" x14ac:dyDescent="0.25">
      <c r="A10" s="36" t="s">
        <v>54</v>
      </c>
      <c r="B10" s="37">
        <v>28</v>
      </c>
      <c r="C10" s="36"/>
    </row>
    <row r="11" spans="1:4" x14ac:dyDescent="0.25">
      <c r="A11" s="36" t="s">
        <v>27</v>
      </c>
      <c r="B11" s="37">
        <v>6</v>
      </c>
      <c r="C11" s="36" t="s">
        <v>47</v>
      </c>
    </row>
    <row r="12" spans="1:4" x14ac:dyDescent="0.25">
      <c r="A12" s="36" t="s">
        <v>55</v>
      </c>
      <c r="B12" s="40">
        <f>4757.21785-B10*B11</f>
        <v>4589.21785</v>
      </c>
      <c r="C12" s="36" t="s">
        <v>47</v>
      </c>
    </row>
    <row r="13" spans="1:4" x14ac:dyDescent="0.25">
      <c r="A13" s="51" t="s">
        <v>56</v>
      </c>
      <c r="B13" s="52"/>
      <c r="C13" s="53"/>
      <c r="D13" s="13"/>
    </row>
    <row r="14" spans="1:4" x14ac:dyDescent="0.25">
      <c r="A14" s="41" t="s">
        <v>57</v>
      </c>
      <c r="B14" s="42">
        <f>+SQRT(B15/B17)</f>
        <v>0.53187186018780619</v>
      </c>
      <c r="C14" s="43" t="s">
        <v>58</v>
      </c>
      <c r="D14" s="1"/>
    </row>
    <row r="15" spans="1:4" x14ac:dyDescent="0.25">
      <c r="A15" s="41" t="s">
        <v>59</v>
      </c>
      <c r="B15" s="44">
        <f>9.81*B4*3.2808*B16*B17</f>
        <v>282.8876756596373</v>
      </c>
      <c r="C15" s="43" t="s">
        <v>60</v>
      </c>
      <c r="D15" s="1"/>
    </row>
    <row r="16" spans="1:4" x14ac:dyDescent="0.25">
      <c r="A16" s="36" t="s">
        <v>61</v>
      </c>
      <c r="B16" s="37">
        <v>1.74E-4</v>
      </c>
      <c r="C16" s="36" t="s">
        <v>62</v>
      </c>
    </row>
    <row r="17" spans="1:4" x14ac:dyDescent="0.25">
      <c r="A17" s="36" t="s">
        <v>63</v>
      </c>
      <c r="B17" s="37">
        <v>1000</v>
      </c>
      <c r="C17" s="36" t="s">
        <v>64</v>
      </c>
    </row>
    <row r="18" spans="1:4" x14ac:dyDescent="0.25">
      <c r="A18" s="36" t="s">
        <v>65</v>
      </c>
      <c r="B18" s="37">
        <v>1.65</v>
      </c>
      <c r="C18" s="36"/>
    </row>
    <row r="19" spans="1:4" x14ac:dyDescent="0.25">
      <c r="A19" s="36" t="s">
        <v>66</v>
      </c>
      <c r="B19" s="37">
        <f>10^-6</f>
        <v>9.9999999999999995E-7</v>
      </c>
      <c r="C19" s="36" t="s">
        <v>67</v>
      </c>
    </row>
    <row r="20" spans="1:4" x14ac:dyDescent="0.25">
      <c r="A20" s="36" t="s">
        <v>68</v>
      </c>
      <c r="B20" s="37">
        <v>5.7000000000000002E-2</v>
      </c>
      <c r="C20" s="36" t="s">
        <v>6</v>
      </c>
    </row>
    <row r="21" spans="1:4" x14ac:dyDescent="0.25">
      <c r="A21" s="36" t="s">
        <v>69</v>
      </c>
      <c r="B21" s="45">
        <f>+B18*9.81*B20^3/1000^3/B19^2</f>
        <v>2.9976264945000004</v>
      </c>
      <c r="C21" s="36"/>
    </row>
    <row r="22" spans="1:4" x14ac:dyDescent="0.25">
      <c r="A22" s="36" t="s">
        <v>2</v>
      </c>
      <c r="B22" s="46">
        <f>0.055*TANH(12*B21^-0.59*EXP(-0.0004*B21))</f>
        <v>5.4999607213473752E-2</v>
      </c>
      <c r="C22" s="36"/>
    </row>
    <row r="23" spans="1:4" x14ac:dyDescent="0.25">
      <c r="A23" s="36" t="s">
        <v>14</v>
      </c>
      <c r="B23" s="46">
        <f>1.06*TANH(0.016*B21^0.5*EXP(-120/B21))</f>
        <v>1.2085940284539348E-19</v>
      </c>
      <c r="C23" s="36"/>
    </row>
    <row r="24" spans="1:4" x14ac:dyDescent="0.25">
      <c r="A24" s="36" t="s">
        <v>15</v>
      </c>
      <c r="B24" s="38">
        <f>+B22*B18*9.81*(B20/1000)^2/B19+B23*SQRT(B18*9.81*B20/1000)</f>
        <v>2.8924259608807414E-3</v>
      </c>
      <c r="C24" s="36" t="s">
        <v>58</v>
      </c>
    </row>
    <row r="25" spans="1:4" x14ac:dyDescent="0.25">
      <c r="A25" s="54" t="s">
        <v>70</v>
      </c>
      <c r="B25" s="55"/>
      <c r="C25" s="56"/>
      <c r="D25" t="s">
        <v>71</v>
      </c>
    </row>
    <row r="26" spans="1:4" x14ac:dyDescent="0.25">
      <c r="A26" s="36" t="s">
        <v>72</v>
      </c>
      <c r="B26" s="40">
        <f>+IF(B14/B24&lt;0.5,0.59,IF(B14/B24&lt;2,0.64,0.69))</f>
        <v>0.69</v>
      </c>
      <c r="C26" s="36"/>
    </row>
    <row r="28" spans="1:4" x14ac:dyDescent="0.25">
      <c r="A28" s="36" t="s">
        <v>73</v>
      </c>
      <c r="B28" s="38">
        <f>+B5-B6</f>
        <v>-8.3290067994540138</v>
      </c>
      <c r="C28" s="36" t="s">
        <v>47</v>
      </c>
    </row>
  </sheetData>
  <mergeCells count="3">
    <mergeCell ref="A2:C2"/>
    <mergeCell ref="A13:C13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200-year-scour</vt:lpstr>
      <vt:lpstr>Contraction-receding surge</vt:lpstr>
      <vt:lpstr>Sheet1</vt:lpstr>
      <vt:lpstr>dont use-Contraction-surge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Mardones, Javier</dc:creator>
  <cp:keywords/>
  <dc:description/>
  <cp:lastModifiedBy>Salimi, Ali</cp:lastModifiedBy>
  <cp:revision/>
  <dcterms:created xsi:type="dcterms:W3CDTF">2021-10-29T16:52:23Z</dcterms:created>
  <dcterms:modified xsi:type="dcterms:W3CDTF">2022-10-24T16:30:15Z</dcterms:modified>
  <cp:category/>
  <cp:contentStatus/>
</cp:coreProperties>
</file>