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R25\"/>
    </mc:Choice>
  </mc:AlternateContent>
  <xr:revisionPtr revIDLastSave="0" documentId="13_ncr:1_{92487B25-A1F5-4D24-82F2-F322630723B2}" xr6:coauthVersionLast="47" xr6:coauthVersionMax="47" xr10:uidLastSave="{00000000-0000-0000-0000-000000000000}"/>
  <bookViews>
    <workbookView xWindow="-108" yWindow="-108" windowWidth="23256" windowHeight="12576" activeTab="3" xr2:uid="{1EF87C00-9268-478F-B0B8-9244906D1BDF}"/>
  </bookViews>
  <sheets>
    <sheet name="Bent 1" sheetId="2" r:id="rId1"/>
    <sheet name="Bent 2" sheetId="3" r:id="rId2"/>
    <sheet name="Bent 3" sheetId="12" r:id="rId3"/>
    <sheet name="Bent 4" sheetId="14" r:id="rId4"/>
    <sheet name="Bent 5" sheetId="15" r:id="rId5"/>
    <sheet name="Bent 6" sheetId="16" r:id="rId6"/>
    <sheet name="Bent 7" sheetId="17" r:id="rId7"/>
    <sheet name="Bent 8" sheetId="18" r:id="rId8"/>
    <sheet name="Bent 27" sheetId="19" r:id="rId9"/>
    <sheet name="Bent 28" sheetId="20" r:id="rId10"/>
    <sheet name="Summa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2" i="15" l="1"/>
  <c r="K172" i="14" l="1"/>
  <c r="K71" i="14"/>
  <c r="K5" i="14"/>
  <c r="K10" i="14" s="1"/>
  <c r="K172" i="12"/>
  <c r="K71" i="12"/>
  <c r="K5" i="12"/>
  <c r="K172" i="3"/>
  <c r="K71" i="3"/>
  <c r="K5" i="3"/>
  <c r="K172" i="2"/>
  <c r="K71" i="2"/>
  <c r="K5" i="2"/>
  <c r="K224" i="20"/>
  <c r="F20" i="11" s="1"/>
  <c r="K224" i="19"/>
  <c r="F19" i="11" s="1"/>
  <c r="K224" i="18"/>
  <c r="F18" i="11" s="1"/>
  <c r="K224" i="17"/>
  <c r="F17" i="11" s="1"/>
  <c r="K224" i="16"/>
  <c r="F16" i="11" s="1"/>
  <c r="K224" i="15"/>
  <c r="F15" i="11" s="1"/>
  <c r="K240" i="20"/>
  <c r="K244" i="20" s="1"/>
  <c r="K248" i="20" s="1"/>
  <c r="G20" i="11" s="1"/>
  <c r="K240" i="19"/>
  <c r="K244" i="19" s="1"/>
  <c r="K248" i="19" s="1"/>
  <c r="G19" i="11" s="1"/>
  <c r="K240" i="18"/>
  <c r="K244" i="18" s="1"/>
  <c r="K248" i="18" s="1"/>
  <c r="G18" i="11" s="1"/>
  <c r="K240" i="17"/>
  <c r="K244" i="17" s="1"/>
  <c r="K248" i="17" s="1"/>
  <c r="G17" i="11" s="1"/>
  <c r="K240" i="16"/>
  <c r="K244" i="16" s="1"/>
  <c r="K248" i="16" s="1"/>
  <c r="G16" i="11" s="1"/>
  <c r="K240" i="15"/>
  <c r="K244" i="15" s="1"/>
  <c r="K248" i="15" s="1"/>
  <c r="G15" i="11" s="1"/>
  <c r="E20" i="11"/>
  <c r="D20" i="11"/>
  <c r="C20" i="11"/>
  <c r="E19" i="11"/>
  <c r="D19" i="11"/>
  <c r="C19" i="11"/>
  <c r="E18" i="11"/>
  <c r="D18" i="11"/>
  <c r="C18" i="11"/>
  <c r="E17" i="11"/>
  <c r="D17" i="11"/>
  <c r="C17" i="11"/>
  <c r="E16" i="11"/>
  <c r="D16" i="11"/>
  <c r="C16" i="11"/>
  <c r="D15" i="11"/>
  <c r="C15" i="11"/>
  <c r="K198" i="20"/>
  <c r="K66" i="20"/>
  <c r="K64" i="20"/>
  <c r="K62" i="20"/>
  <c r="K60" i="20"/>
  <c r="C24" i="20"/>
  <c r="K18" i="20"/>
  <c r="K11" i="20"/>
  <c r="K58" i="20" s="1"/>
  <c r="K10" i="20"/>
  <c r="K9" i="20"/>
  <c r="K8" i="20"/>
  <c r="C23" i="20" s="1"/>
  <c r="K198" i="19"/>
  <c r="C24" i="19"/>
  <c r="K18" i="19"/>
  <c r="K11" i="19"/>
  <c r="K66" i="19" s="1"/>
  <c r="K10" i="19"/>
  <c r="K9" i="19"/>
  <c r="K8" i="19"/>
  <c r="C23" i="19" s="1"/>
  <c r="K198" i="18"/>
  <c r="K66" i="18"/>
  <c r="K64" i="18"/>
  <c r="K62" i="18"/>
  <c r="K60" i="18"/>
  <c r="C24" i="18"/>
  <c r="K18" i="18"/>
  <c r="K11" i="18"/>
  <c r="K58" i="18" s="1"/>
  <c r="K10" i="18"/>
  <c r="K9" i="18"/>
  <c r="K8" i="18"/>
  <c r="K198" i="17"/>
  <c r="C24" i="17"/>
  <c r="K18" i="17"/>
  <c r="K11" i="17"/>
  <c r="K66" i="17" s="1"/>
  <c r="K10" i="17"/>
  <c r="K9" i="17"/>
  <c r="K8" i="17"/>
  <c r="K198" i="16"/>
  <c r="K66" i="16"/>
  <c r="C24" i="16"/>
  <c r="K18" i="16"/>
  <c r="K11" i="16"/>
  <c r="K64" i="16" s="1"/>
  <c r="K10" i="16"/>
  <c r="K9" i="16"/>
  <c r="K104" i="16" s="1"/>
  <c r="K8" i="16"/>
  <c r="K210" i="16" s="1"/>
  <c r="K198" i="15"/>
  <c r="K64" i="15"/>
  <c r="K62" i="15"/>
  <c r="K60" i="15"/>
  <c r="C24" i="15"/>
  <c r="K18" i="15"/>
  <c r="K11" i="15"/>
  <c r="K58" i="15" s="1"/>
  <c r="K10" i="15"/>
  <c r="K9" i="15"/>
  <c r="K8" i="15"/>
  <c r="K198" i="14"/>
  <c r="K68" i="14"/>
  <c r="C24" i="14"/>
  <c r="K18" i="14"/>
  <c r="K11" i="14"/>
  <c r="K66" i="14" s="1"/>
  <c r="K9" i="14"/>
  <c r="K8" i="14"/>
  <c r="K46" i="14" s="1"/>
  <c r="K18" i="12"/>
  <c r="K18" i="3"/>
  <c r="K18" i="2"/>
  <c r="K104" i="14" l="1"/>
  <c r="K240" i="14"/>
  <c r="K244" i="14" s="1"/>
  <c r="K37" i="14"/>
  <c r="K40" i="14" s="1"/>
  <c r="K49" i="14" s="1"/>
  <c r="K100" i="20"/>
  <c r="K131" i="20"/>
  <c r="K46" i="20"/>
  <c r="K68" i="20"/>
  <c r="K210" i="20"/>
  <c r="K13" i="20"/>
  <c r="K133" i="20"/>
  <c r="K37" i="20"/>
  <c r="K40" i="20" s="1"/>
  <c r="K43" i="20"/>
  <c r="K56" i="20"/>
  <c r="K74" i="20"/>
  <c r="K172" i="20"/>
  <c r="K104" i="20"/>
  <c r="K111" i="20" s="1"/>
  <c r="K77" i="20"/>
  <c r="K133" i="19"/>
  <c r="K46" i="19"/>
  <c r="K104" i="19"/>
  <c r="K210" i="19"/>
  <c r="K37" i="19"/>
  <c r="K40" i="19" s="1"/>
  <c r="K49" i="19" s="1"/>
  <c r="K58" i="19"/>
  <c r="K77" i="19"/>
  <c r="K68" i="19"/>
  <c r="K60" i="19"/>
  <c r="K13" i="19"/>
  <c r="K43" i="19" s="1"/>
  <c r="K56" i="19"/>
  <c r="K74" i="19"/>
  <c r="K62" i="19"/>
  <c r="K100" i="19"/>
  <c r="K64" i="19"/>
  <c r="K100" i="18"/>
  <c r="K37" i="18"/>
  <c r="K40" i="18" s="1"/>
  <c r="K49" i="18" s="1"/>
  <c r="K68" i="18"/>
  <c r="K13" i="18"/>
  <c r="K133" i="18"/>
  <c r="K104" i="18"/>
  <c r="K111" i="18" s="1"/>
  <c r="K56" i="18"/>
  <c r="K74" i="18"/>
  <c r="K46" i="18"/>
  <c r="K210" i="18"/>
  <c r="C23" i="18"/>
  <c r="K77" i="18"/>
  <c r="K133" i="17"/>
  <c r="K46" i="17"/>
  <c r="K104" i="17"/>
  <c r="K37" i="17"/>
  <c r="K40" i="17" s="1"/>
  <c r="K49" i="17" s="1"/>
  <c r="K210" i="17"/>
  <c r="K74" i="17"/>
  <c r="K56" i="17"/>
  <c r="C23" i="17"/>
  <c r="K58" i="17"/>
  <c r="K77" i="17"/>
  <c r="K60" i="17"/>
  <c r="K62" i="17"/>
  <c r="K100" i="17"/>
  <c r="K111" i="17" s="1"/>
  <c r="K68" i="17"/>
  <c r="K13" i="17"/>
  <c r="K43" i="17" s="1"/>
  <c r="K64" i="17"/>
  <c r="K100" i="16"/>
  <c r="K111" i="16" s="1"/>
  <c r="K37" i="16"/>
  <c r="K40" i="16" s="1"/>
  <c r="K49" i="16"/>
  <c r="K13" i="16"/>
  <c r="K133" i="16"/>
  <c r="K56" i="16"/>
  <c r="K74" i="16"/>
  <c r="K71" i="16" s="1"/>
  <c r="K46" i="16"/>
  <c r="K68" i="16"/>
  <c r="C23" i="16"/>
  <c r="K58" i="16"/>
  <c r="K77" i="16"/>
  <c r="K60" i="16"/>
  <c r="K62" i="16"/>
  <c r="K104" i="15"/>
  <c r="K37" i="15"/>
  <c r="K40" i="15" s="1"/>
  <c r="K49" i="15"/>
  <c r="K131" i="15"/>
  <c r="K111" i="15"/>
  <c r="K43" i="15"/>
  <c r="K88" i="15" s="1"/>
  <c r="K66" i="15"/>
  <c r="K46" i="15"/>
  <c r="K13" i="15"/>
  <c r="K133" i="15"/>
  <c r="K56" i="15"/>
  <c r="K74" i="15"/>
  <c r="K71" i="15" s="1"/>
  <c r="K68" i="15"/>
  <c r="K210" i="15"/>
  <c r="C23" i="15"/>
  <c r="K77" i="15"/>
  <c r="K100" i="15"/>
  <c r="K133" i="14"/>
  <c r="K210" i="14"/>
  <c r="K74" i="14"/>
  <c r="C23" i="14"/>
  <c r="K58" i="14"/>
  <c r="K77" i="14"/>
  <c r="K60" i="14"/>
  <c r="K62" i="14"/>
  <c r="K100" i="14"/>
  <c r="K13" i="14"/>
  <c r="K43" i="14" s="1"/>
  <c r="K56" i="14"/>
  <c r="K64" i="14"/>
  <c r="K198" i="12"/>
  <c r="C24" i="12"/>
  <c r="K11" i="12"/>
  <c r="K66" i="12" s="1"/>
  <c r="K10" i="12"/>
  <c r="K9" i="12"/>
  <c r="K8" i="12"/>
  <c r="K133" i="12" s="1"/>
  <c r="K11" i="2"/>
  <c r="K66" i="2" s="1"/>
  <c r="K198" i="3"/>
  <c r="C24" i="3"/>
  <c r="K11" i="3"/>
  <c r="K66" i="3" s="1"/>
  <c r="K10" i="3"/>
  <c r="K9" i="3"/>
  <c r="K8" i="3"/>
  <c r="K240" i="3" s="1"/>
  <c r="K244" i="3" s="1"/>
  <c r="K198" i="2"/>
  <c r="C24" i="2"/>
  <c r="K8" i="2"/>
  <c r="C23" i="2" s="1"/>
  <c r="K10" i="2"/>
  <c r="K9" i="2"/>
  <c r="K111" i="14" l="1"/>
  <c r="K248" i="14"/>
  <c r="G14" i="11" s="1"/>
  <c r="K240" i="12"/>
  <c r="K244" i="12" s="1"/>
  <c r="K71" i="20"/>
  <c r="K49" i="20"/>
  <c r="K192" i="20"/>
  <c r="K190" i="20"/>
  <c r="K217" i="20"/>
  <c r="K194" i="20"/>
  <c r="K111" i="19"/>
  <c r="K71" i="19"/>
  <c r="K88" i="19" s="1"/>
  <c r="K194" i="19"/>
  <c r="K131" i="19"/>
  <c r="K172" i="19" s="1"/>
  <c r="K192" i="19"/>
  <c r="K190" i="19"/>
  <c r="K217" i="19"/>
  <c r="K194" i="18"/>
  <c r="K190" i="18"/>
  <c r="K192" i="18"/>
  <c r="K217" i="18"/>
  <c r="K43" i="18"/>
  <c r="K88" i="18" s="1"/>
  <c r="K131" i="18"/>
  <c r="K172" i="18" s="1"/>
  <c r="K71" i="18"/>
  <c r="K71" i="17"/>
  <c r="K88" i="17" s="1"/>
  <c r="K194" i="17"/>
  <c r="K192" i="17"/>
  <c r="K190" i="17"/>
  <c r="K217" i="17"/>
  <c r="K131" i="17"/>
  <c r="K172" i="17" s="1"/>
  <c r="K194" i="16"/>
  <c r="K192" i="16"/>
  <c r="K190" i="16"/>
  <c r="K217" i="16"/>
  <c r="K131" i="16"/>
  <c r="K172" i="16" s="1"/>
  <c r="K43" i="16"/>
  <c r="K88" i="16" s="1"/>
  <c r="K200" i="16" s="1"/>
  <c r="K194" i="15"/>
  <c r="K192" i="15"/>
  <c r="K190" i="15"/>
  <c r="K200" i="15" s="1"/>
  <c r="E15" i="11" s="1"/>
  <c r="K217" i="15"/>
  <c r="K261" i="15" s="1"/>
  <c r="K263" i="15" s="1"/>
  <c r="H15" i="11" s="1"/>
  <c r="K131" i="14"/>
  <c r="K194" i="14"/>
  <c r="K192" i="14"/>
  <c r="K190" i="14"/>
  <c r="K217" i="14"/>
  <c r="K224" i="14" s="1"/>
  <c r="F14" i="11" s="1"/>
  <c r="K210" i="12"/>
  <c r="K217" i="12" s="1"/>
  <c r="K224" i="12" s="1"/>
  <c r="F13" i="11" s="1"/>
  <c r="K104" i="12"/>
  <c r="K104" i="3"/>
  <c r="K240" i="2"/>
  <c r="K244" i="2" s="1"/>
  <c r="K210" i="2"/>
  <c r="K217" i="2" s="1"/>
  <c r="K224" i="2" s="1"/>
  <c r="C23" i="12"/>
  <c r="K46" i="12"/>
  <c r="K100" i="12"/>
  <c r="K68" i="12"/>
  <c r="K13" i="12"/>
  <c r="K58" i="12"/>
  <c r="K60" i="12"/>
  <c r="K56" i="12"/>
  <c r="K74" i="12"/>
  <c r="K77" i="12"/>
  <c r="K37" i="12"/>
  <c r="K40" i="12" s="1"/>
  <c r="K62" i="12"/>
  <c r="K64" i="12"/>
  <c r="K100" i="3"/>
  <c r="K111" i="3" s="1"/>
  <c r="K133" i="3"/>
  <c r="K210" i="3"/>
  <c r="K74" i="3"/>
  <c r="C23" i="3"/>
  <c r="K58" i="3"/>
  <c r="K77" i="3"/>
  <c r="K60" i="3"/>
  <c r="K46" i="3"/>
  <c r="K13" i="3"/>
  <c r="K56" i="3"/>
  <c r="K37" i="3"/>
  <c r="K40" i="3" s="1"/>
  <c r="K62" i="3"/>
  <c r="K64" i="3"/>
  <c r="K68" i="3"/>
  <c r="K133" i="2"/>
  <c r="K58" i="2"/>
  <c r="K68" i="2"/>
  <c r="K104" i="2"/>
  <c r="K56" i="2"/>
  <c r="K74" i="2"/>
  <c r="K60" i="2"/>
  <c r="K77" i="2"/>
  <c r="K37" i="2"/>
  <c r="K40" i="2" s="1"/>
  <c r="K62" i="2"/>
  <c r="K100" i="2"/>
  <c r="K46" i="2"/>
  <c r="K64" i="2"/>
  <c r="K13" i="2"/>
  <c r="K192" i="2" s="1"/>
  <c r="K88" i="14" l="1"/>
  <c r="C14" i="11" s="1"/>
  <c r="D14" i="11"/>
  <c r="K88" i="20"/>
  <c r="K200" i="20" s="1"/>
  <c r="K261" i="20"/>
  <c r="K263" i="20" s="1"/>
  <c r="H20" i="11" s="1"/>
  <c r="K200" i="19"/>
  <c r="K261" i="19"/>
  <c r="K263" i="19" s="1"/>
  <c r="H19" i="11" s="1"/>
  <c r="K261" i="18"/>
  <c r="K263" i="18" s="1"/>
  <c r="H18" i="11" s="1"/>
  <c r="K200" i="18"/>
  <c r="K200" i="17"/>
  <c r="K261" i="17"/>
  <c r="K263" i="17" s="1"/>
  <c r="H17" i="11" s="1"/>
  <c r="K261" i="16"/>
  <c r="K263" i="16" s="1"/>
  <c r="H16" i="11" s="1"/>
  <c r="K261" i="14"/>
  <c r="K263" i="14" s="1"/>
  <c r="H14" i="11" s="1"/>
  <c r="K111" i="12"/>
  <c r="K111" i="2"/>
  <c r="K192" i="12"/>
  <c r="K131" i="12"/>
  <c r="D13" i="11" s="1"/>
  <c r="K194" i="12"/>
  <c r="K190" i="12"/>
  <c r="K248" i="12"/>
  <c r="G13" i="11" s="1"/>
  <c r="K49" i="12"/>
  <c r="K43" i="12"/>
  <c r="K248" i="3"/>
  <c r="G12" i="11" s="1"/>
  <c r="K49" i="3"/>
  <c r="K217" i="3"/>
  <c r="K224" i="3" s="1"/>
  <c r="K194" i="3"/>
  <c r="K131" i="3"/>
  <c r="D12" i="11" s="1"/>
  <c r="K192" i="3"/>
  <c r="K190" i="3"/>
  <c r="K43" i="3"/>
  <c r="F11" i="11"/>
  <c r="K248" i="2"/>
  <c r="K49" i="2"/>
  <c r="K194" i="2"/>
  <c r="K190" i="2"/>
  <c r="K131" i="2"/>
  <c r="D11" i="11" s="1"/>
  <c r="K43" i="2"/>
  <c r="K200" i="14" l="1"/>
  <c r="E14" i="11" s="1"/>
  <c r="K88" i="12"/>
  <c r="K88" i="3"/>
  <c r="C12" i="11" s="1"/>
  <c r="K261" i="12"/>
  <c r="K263" i="12" s="1"/>
  <c r="H13" i="11" s="1"/>
  <c r="F12" i="11"/>
  <c r="K261" i="2"/>
  <c r="K263" i="2" s="1"/>
  <c r="H11" i="11" s="1"/>
  <c r="K88" i="2"/>
  <c r="K200" i="12" l="1"/>
  <c r="E13" i="11" s="1"/>
  <c r="C13" i="11"/>
  <c r="K200" i="3"/>
  <c r="E12" i="11" s="1"/>
  <c r="K261" i="3"/>
  <c r="K263" i="3" s="1"/>
  <c r="H12" i="11" s="1"/>
  <c r="G11" i="11"/>
  <c r="C11" i="11"/>
  <c r="K200" i="2"/>
  <c r="E11" i="11" s="1"/>
</calcChain>
</file>

<file path=xl/sharedStrings.xml><?xml version="1.0" encoding="utf-8"?>
<sst xmlns="http://schemas.openxmlformats.org/spreadsheetml/2006/main" count="1063" uniqueCount="89">
  <si>
    <t>Zc</t>
  </si>
  <si>
    <t>ft</t>
  </si>
  <si>
    <t>Wbdg</t>
  </si>
  <si>
    <t>Hmax</t>
  </si>
  <si>
    <t>Storm El.</t>
  </si>
  <si>
    <t>ηmax</t>
  </si>
  <si>
    <t>Wave El.</t>
  </si>
  <si>
    <t>dg</t>
  </si>
  <si>
    <t>dd</t>
  </si>
  <si>
    <t>db</t>
  </si>
  <si>
    <t>ds</t>
  </si>
  <si>
    <t>r</t>
  </si>
  <si>
    <t>λi</t>
  </si>
  <si>
    <t>Tp</t>
  </si>
  <si>
    <t>s</t>
  </si>
  <si>
    <t>λ</t>
  </si>
  <si>
    <t>Wb1</t>
  </si>
  <si>
    <t>Wb</t>
  </si>
  <si>
    <t>β</t>
  </si>
  <si>
    <t>x1</t>
  </si>
  <si>
    <t>y1</t>
  </si>
  <si>
    <t>b0</t>
  </si>
  <si>
    <t>b1</t>
  </si>
  <si>
    <t>b2</t>
  </si>
  <si>
    <t>b3</t>
  </si>
  <si>
    <t>b4</t>
  </si>
  <si>
    <t>b5</t>
  </si>
  <si>
    <t>b6</t>
  </si>
  <si>
    <t>Aair</t>
  </si>
  <si>
    <t>Bair</t>
  </si>
  <si>
    <t>% Air</t>
  </si>
  <si>
    <t>max.</t>
  </si>
  <si>
    <t>TAF</t>
  </si>
  <si>
    <t>FvMAX</t>
  </si>
  <si>
    <t>k/ft</t>
  </si>
  <si>
    <t>Low El.</t>
  </si>
  <si>
    <t>Fs</t>
  </si>
  <si>
    <t>B</t>
  </si>
  <si>
    <t>A</t>
  </si>
  <si>
    <t>x2</t>
  </si>
  <si>
    <t>y2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</si>
  <si>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</si>
  <si>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</si>
  <si>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</si>
  <si>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</si>
  <si>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</si>
  <si>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</si>
  <si>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</si>
  <si>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</si>
  <si>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</si>
  <si>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Fh-av</t>
  </si>
  <si>
    <t>am</t>
  </si>
  <si>
    <t>bm</t>
  </si>
  <si>
    <t>cm</t>
  </si>
  <si>
    <t>W*</t>
  </si>
  <si>
    <t>W'</t>
  </si>
  <si>
    <t>Mt-av</t>
  </si>
  <si>
    <t>* Check Vs. Freeboard</t>
  </si>
  <si>
    <t>ω</t>
  </si>
  <si>
    <t>Fh-max</t>
  </si>
  <si>
    <t>F*h-max</t>
  </si>
  <si>
    <t>α</t>
  </si>
  <si>
    <t>F*v-ah</t>
  </si>
  <si>
    <t>Fv-ah</t>
  </si>
  <si>
    <t>M*t-ah</t>
  </si>
  <si>
    <t>Mt-ah</t>
  </si>
  <si>
    <t>Location</t>
  </si>
  <si>
    <t>Assoc. Horizontal Force (kips)</t>
  </si>
  <si>
    <t>Max. Vertical Force (kips)</t>
  </si>
  <si>
    <t>Assoc. Moment Trailing Edge (ft-kips)</t>
  </si>
  <si>
    <t>Maximum Vertical Force</t>
  </si>
  <si>
    <t>Maximum Horizontal Force</t>
  </si>
  <si>
    <t>Max. Horizontal Force (kips)</t>
  </si>
  <si>
    <t>Assoc. Vertical Force (kips)</t>
  </si>
  <si>
    <t>Bent 1</t>
  </si>
  <si>
    <t>Bent 2</t>
  </si>
  <si>
    <t>Bent 3</t>
  </si>
  <si>
    <t>Bent 4</t>
  </si>
  <si>
    <t>Bent 5</t>
  </si>
  <si>
    <t>Bent 6</t>
  </si>
  <si>
    <t>Bent 7</t>
  </si>
  <si>
    <t>Bent 8</t>
  </si>
  <si>
    <t>Bent 27</t>
  </si>
  <si>
    <t>Bent 28</t>
  </si>
  <si>
    <t>span length</t>
  </si>
  <si>
    <t>Hmaxi</t>
  </si>
  <si>
    <t>Eqn. 6.1.2.1-1</t>
  </si>
  <si>
    <t>Eqn. 6.1.2.1-2</t>
  </si>
  <si>
    <t>no.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</si>
</sst>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0" fillId="0" borderId="1" xfId="0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5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4" borderId="0" xfId="0" applyFill="1"/>
    <xf numFmtId="0" fontId="0" fillId="5" borderId="0" xfId="0" applyFill="1"/>
    <xf numFmtId="0" fontId="10" fillId="0" borderId="0" xfId="0" applyFont="1" applyFill="1" applyAlignment="1">
      <alignment horizontal="right"/>
    </xf>
    <xf numFmtId="0" fontId="11" fillId="0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85DBC0-C484-4C21-8AE4-7511FC73B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8813D-8DF1-45E5-AE73-540B2749A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37D2BF-E637-46A4-84E6-AA4F8C097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63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BD63AA-9034-49D0-B142-00058F529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73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51BAF8-6F77-48EF-B762-E8CB72DE8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107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B23224-CA55-405B-AAA9-D87A00A79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345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A07545-B9D3-4FDD-BA28-2D1B7E8ED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822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973CF2-8B01-4747-AD32-4C3419D4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394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FBFD1D-34CD-4ED5-83BF-347DDC4AE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7728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720D51-C226-4153-A602-729924A69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2491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F2414F-99E5-454D-A532-A81CFEF8B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063025"/>
          <a:ext cx="3047619" cy="2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7311F49-29F4-40BF-B382-FA26146A9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487E5EF-8632-4C3E-9CF0-E915F225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6419BDB-8F54-4CE5-BC59-203200E5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7261D65-9940-4829-847B-1CB37CAE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125885-D51E-464E-92E4-13DEA4F20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4E92183-4C01-47A0-A73E-5BD9AB89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B55E323-0DB5-45BF-A27C-6B68D0196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4ED0B55-447C-4A61-9CFD-BF18DD15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67D43DB-1D2D-4B3D-9F05-22E864A3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5952F6D-E323-43F9-9489-BF63717CA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8E14572-AB6A-4E22-9A28-A9509EB4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203A7F-F553-489E-B3C3-D3E1F9C37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6CED59-D430-4398-B4F2-A172AC20B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CC0838-BDFD-4D78-8C5F-DC32C448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69372-3E58-40A7-A99A-29986581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444343-A12A-4978-8934-13C3EB2AF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9B0EF0-6AC1-4508-9DED-14A9D22D7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86D7A2-BCC1-4C5A-BC9E-B499F3457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34C844-519D-454A-8712-F1B96F5F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8054D0-BDDB-4B09-9FB4-C5951A754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4F48A1-1E71-4DEB-81AD-E064D72F1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DD77B3-A2C8-4DE1-B176-BB43009D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7BF45-0D46-473E-B4AD-F2812CED7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311D1E-5268-42C8-850C-3D15A2E00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8DED58-80EB-49AF-B3D2-041256ABF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7033E-03AF-406D-A0D1-A3A5CEB1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64971D-0F9C-475F-86B0-9BA3ECD1B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0B25B8-C1C9-40BC-8161-0E724BC29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6C02F7-DF1B-41B0-BCF8-67CF430F7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18A240-C6B6-4581-864D-036ADDA5F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1A4D71-0AF8-4FF7-990D-24E68C89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94BABA-33C5-4780-8914-890033B56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4290BB-D567-4BD3-AE9B-EB7AFFC70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BEC69-1DF5-4332-8F63-2057ABE81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147077-F81F-456D-8C97-02D465250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8C30E3-1747-40DA-9F28-9115802FE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826817-3055-4FC6-ABE1-14711DB1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224EB5-867C-4F3D-8F65-9AA29F29B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70C9B8-E187-47E1-B97F-5EC8F917A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B23077-3BA5-414A-A283-0DD89B11D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C224F7-7A84-489A-BD39-B7331E6C7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CF2BA6-BE51-418A-A1F6-31A368FD0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372D29-B741-4739-9C46-2F58AC43C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51DA68-55A6-420E-965D-C73B5D2B9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297242-9613-4F9B-A154-A6DFCD78E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212000-E60E-417E-AF97-28F098C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FA3537-FED8-4C61-B3C4-0A6C7EE41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6DD725-A2E0-4FEF-9184-45E5F321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72B955-277D-4819-AAEC-1F55D7155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0587B8-3D74-4E3D-93B3-61CF41C2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2C2EFF-9B78-4561-AADC-D205380AA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FCE301-738E-46DC-914C-02C3F706F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6F4E4DF-DE66-4C18-A70E-C14BFC11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456A8E-C1EC-4395-A792-4E5D33DFC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7FB40F-431F-478E-995A-5B6A5603B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70833-2203-456D-8293-924AFA4E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3693C-30FC-4179-B56D-9ECE2685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D6D8E2-5FF1-4F20-89E5-6CB34766C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0F2A2-D2EC-4FDF-B2F8-BA02278F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F91D5D-B3FB-4651-8495-2B9CFC92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FF33B3-2725-49EF-9C8D-1F9EBA965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226E7A-2F39-4E7B-A8FA-8DB3A12D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55419A-C8D8-4D93-A44F-96154A2A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DCC0DA3-A142-4CD0-AB7C-E04E06DB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45E85B-8645-4E96-818F-3D47B6967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D1421E-B434-4E5D-A1F7-CAA8C185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E72D26-685D-4F8A-B2FF-CDD7CD666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768E50-0C8F-45E6-95EC-C6225AD2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1D93CA-F29B-4ED5-B3EC-95717423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517075-298D-40CF-9D8A-FC3A011A6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E3BCE-9541-4FB4-9DC2-441865C4B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CF31F0-5A81-4BC1-9095-3A5F64D28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18BC5F-36F7-4187-BEE2-ECE34A54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798AB9-7D80-48B2-B30B-6448E5DEE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525E3ED-B839-4864-84B9-B0A0CA3A1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AF849E0-20FA-4DE8-82A0-AB10F3222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2800F1-391E-48BE-82E1-EC98DE404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D0EAB-CCBE-4A0F-ADE4-39C9B92D6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B29D9-BC87-4E93-8DF2-218609231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F3DA1E-5EC1-478C-9D98-A15E17E5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738CCB-8C9A-487A-8ED8-CEA577C0A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EAA3E-3AC3-4CE2-B22B-7DB6FDF85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570190-7080-46EA-9B14-5C0D65617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AF0D35-72B6-488D-8F08-A23132E85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155617-4C4A-470C-9354-1F1B2339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569EF5-52E6-453F-8836-89DB4BA9B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AD711B-92F0-45C1-A6AD-CBAA6C3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EFFD90-7D4B-44E7-87A0-EF6A06FD2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609219</xdr:colOff>
      <xdr:row>49</xdr:row>
      <xdr:rowOff>161350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C2E915-B089-42F6-97FB-0EDA0E924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05375"/>
          <a:ext cx="3047619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8</xdr:col>
      <xdr:colOff>170819</xdr:colOff>
      <xdr:row>18</xdr:row>
      <xdr:rowOff>28171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B2E717-4E27-48A3-AA45-08370A178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"/>
          <a:ext cx="504761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47238</xdr:colOff>
      <xdr:row>89</xdr:row>
      <xdr:rowOff>65762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D0761-FF2B-4AD6-96DA-F83880F2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25025"/>
          <a:ext cx="3095238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5</xdr:col>
      <xdr:colOff>28190</xdr:colOff>
      <xdr:row>98</xdr:row>
      <xdr:rowOff>95095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F2EA6-1AE0-4261-9D79-405E65C3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35525"/>
          <a:ext cx="307619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94857</xdr:colOff>
      <xdr:row>113</xdr:row>
      <xdr:rowOff>180619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83FCD1-7A14-450F-A70B-03B04D68E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69025"/>
          <a:ext cx="3142857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104381</xdr:colOff>
      <xdr:row>128</xdr:row>
      <xdr:rowOff>171143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5E8D6E-37E3-49DD-B195-5B854220C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107525"/>
          <a:ext cx="3152381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6</xdr:col>
      <xdr:colOff>209067</xdr:colOff>
      <xdr:row>169</xdr:row>
      <xdr:rowOff>65714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0914658-A603-406F-8E40-43C0FBD27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584025"/>
          <a:ext cx="3866667" cy="7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609219</xdr:colOff>
      <xdr:row>198</xdr:row>
      <xdr:rowOff>37524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88ABEA-C3F3-4BC5-AD19-A6918C317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56525"/>
          <a:ext cx="3047619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161524</xdr:colOff>
      <xdr:row>225</xdr:row>
      <xdr:rowOff>47071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9A2C514-9436-44F0-9D1A-444FA113C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490525"/>
          <a:ext cx="3209524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9143</xdr:colOff>
      <xdr:row>249</xdr:row>
      <xdr:rowOff>28048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092371-B3B8-4BC7-8FFA-652EC6809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253025"/>
          <a:ext cx="3057143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4</xdr:col>
      <xdr:colOff>609219</xdr:colOff>
      <xdr:row>264</xdr:row>
      <xdr:rowOff>113976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517EE4-4821-46F3-9B5A-03722A77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7825025"/>
          <a:ext cx="3047619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4C1D-3655-4567-8904-FC164C3C499B}">
  <dimension ref="A3:M263"/>
  <sheetViews>
    <sheetView topLeftCell="A115" workbookViewId="0">
      <selection activeCell="K172" sqref="K172"/>
    </sheetView>
  </sheetViews>
  <sheetFormatPr defaultRowHeight="14.4" x14ac:dyDescent="0.3"/>
  <sheetData>
    <row r="3" spans="10:13" x14ac:dyDescent="0.3">
      <c r="J3" s="3" t="s">
        <v>35</v>
      </c>
      <c r="K3" s="1">
        <v>10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f>K6+K7*0.7</f>
        <v>12.11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4.3</v>
      </c>
      <c r="L7" s="5" t="s">
        <v>1</v>
      </c>
    </row>
    <row r="8" spans="10:13" x14ac:dyDescent="0.3">
      <c r="J8" s="3" t="s">
        <v>3</v>
      </c>
      <c r="K8" s="7">
        <f>IF(K7/K16&gt;0.15,0.15*K16,K7)</f>
        <v>4.3</v>
      </c>
      <c r="L8" s="5" t="s">
        <v>1</v>
      </c>
    </row>
    <row r="9" spans="10:13" x14ac:dyDescent="0.3">
      <c r="J9" s="3" t="s">
        <v>0</v>
      </c>
      <c r="K9" s="7">
        <f>K3-K6</f>
        <v>0.90000000000000036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3.01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3.3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21.220930232558132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21.220930232558132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0.44421052631578933</v>
      </c>
      <c r="L43" s="5"/>
    </row>
    <row r="46" spans="10:12" x14ac:dyDescent="0.3">
      <c r="J46" s="4" t="s">
        <v>19</v>
      </c>
      <c r="K46" s="22">
        <f>K8/K18</f>
        <v>5.8904109589041097E-2</v>
      </c>
      <c r="L46" s="5" t="s">
        <v>1</v>
      </c>
    </row>
    <row r="49" spans="10:12" x14ac:dyDescent="0.3">
      <c r="J49" s="4" t="s">
        <v>20</v>
      </c>
      <c r="K49" s="22">
        <f>K40/K18</f>
        <v>0.29069767441860456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IF(K74*K79/100+K77&gt;1,1,K74*K79/100+K77)</f>
        <v>0.2262858627131672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8.2301466530816884E-3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0.2180557160600855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2.713512790811904E-2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-0.97359632895884141</v>
      </c>
    </row>
    <row r="104" spans="10:12" x14ac:dyDescent="0.3">
      <c r="J104" s="3" t="s">
        <v>38</v>
      </c>
      <c r="K104" s="11">
        <f>IF((K9/K10)&lt;0,(-1562.9+1594*EXP(-1*(K9/K10)))^-1,0.0149*(K9/K10)+0.0316)</f>
        <v>3.6055149501661138E-2</v>
      </c>
    </row>
    <row r="111" spans="10:12" x14ac:dyDescent="0.3">
      <c r="J111" s="8" t="s">
        <v>36</v>
      </c>
      <c r="K111" s="23">
        <f>K104*0.064*K8^2*(K8/K18)^K100</f>
        <v>0.67214956089116817</v>
      </c>
      <c r="L111" s="5" t="s">
        <v>34</v>
      </c>
    </row>
    <row r="131" spans="10:12" x14ac:dyDescent="0.3">
      <c r="J131" s="3" t="s">
        <v>39</v>
      </c>
      <c r="K131" s="23">
        <f>(K10-K9)/(K13+K15)</f>
        <v>0.25575757575757568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5.8904109589041097E-2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0.064*K8^2*(K161+K162*K131+K163*K131^2+K164*K131^3+K165*K131^4+K166*K131^5+K167*LN(K133))*(K168+K169*(K4/K18))</f>
        <v>9.2249598004411362E-2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17.30169862365409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43.25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4.4359357125513164</v>
      </c>
    </row>
    <row r="224" spans="10:12" x14ac:dyDescent="0.3">
      <c r="J224" s="6" t="s">
        <v>59</v>
      </c>
      <c r="K224" s="23">
        <f>K217*EXP(-3.18+3.76*EXP(-1*K210/K18)-0.95*(LN((K10-K9)/(K13+K15)))^2)</f>
        <v>0.25224237249579551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8.1618962432915882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1.1021824686940958</v>
      </c>
    </row>
    <row r="248" spans="10:12" x14ac:dyDescent="0.3">
      <c r="J248" s="6" t="s">
        <v>63</v>
      </c>
      <c r="K248" s="23">
        <f>K244*EXP(-0.3+2.04*EXP(-9.01*(K240/K18))-0.16*((K10-K9)/K13)^1.5)*K71</f>
        <v>0.3711765696772758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32.163569671147116</v>
      </c>
    </row>
    <row r="263" spans="10:12" x14ac:dyDescent="0.3">
      <c r="J263" s="8" t="s">
        <v>65</v>
      </c>
      <c r="K263" s="23">
        <f>K261*1.37*TANH(K13/(K10-K9))</f>
        <v>43.098097798398079</v>
      </c>
      <c r="L263" s="5" t="s">
        <v>34</v>
      </c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B26A-A2BC-4740-9DED-DAEB3B7E832F}">
  <dimension ref="A3:M263"/>
  <sheetViews>
    <sheetView topLeftCell="A241" workbookViewId="0">
      <selection activeCell="K173" sqref="K173"/>
    </sheetView>
  </sheetViews>
  <sheetFormatPr defaultRowHeight="14.4" x14ac:dyDescent="0.3"/>
  <cols>
    <col min="11" max="11" width="12" bestFit="1" customWidth="1"/>
  </cols>
  <sheetData>
    <row r="3" spans="10:13" x14ac:dyDescent="0.3">
      <c r="J3" s="3" t="s">
        <v>35</v>
      </c>
      <c r="K3" s="1">
        <v>10.9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f>K6+K8*0.7</f>
        <v>12.39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4.7</v>
      </c>
      <c r="L7" s="5" t="s">
        <v>1</v>
      </c>
    </row>
    <row r="8" spans="10:13" x14ac:dyDescent="0.3">
      <c r="J8" s="3" t="s">
        <v>3</v>
      </c>
      <c r="K8" s="7">
        <f>IF(K7/K16&gt;0.15,0.15*K16,K7)</f>
        <v>4.7</v>
      </c>
      <c r="L8" s="5" t="s">
        <v>1</v>
      </c>
    </row>
    <row r="9" spans="10:13" x14ac:dyDescent="0.3">
      <c r="J9" s="3" t="s">
        <v>0</v>
      </c>
      <c r="K9" s="7">
        <f>K3-K6</f>
        <v>1.8000000000000007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3.2900000000000009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4.5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74.989999999999995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74.989999999999995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8.7754255319148911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8.7754255319148911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0.31368421052631584</v>
      </c>
      <c r="L43" s="5"/>
    </row>
    <row r="46" spans="10:12" x14ac:dyDescent="0.3">
      <c r="J46" s="4" t="s">
        <v>19</v>
      </c>
      <c r="K46" s="22">
        <f>K8/K18</f>
        <v>6.2675023336444868E-2</v>
      </c>
      <c r="L46" s="5" t="s">
        <v>1</v>
      </c>
    </row>
    <row r="49" spans="10:12" x14ac:dyDescent="0.3">
      <c r="J49" s="4" t="s">
        <v>20</v>
      </c>
      <c r="K49" s="22">
        <f>K40/K18</f>
        <v>0.11702127659574466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IF(K74*K79/100+K77&gt;1,1,K74*K79/100+K77)</f>
        <v>0.19615327952965916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8.9257176258059762E-3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0.1872275619038532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3.4814775935461346E-2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-0.70211007843608242</v>
      </c>
    </row>
    <row r="104" spans="10:12" x14ac:dyDescent="0.3">
      <c r="J104" s="3" t="s">
        <v>38</v>
      </c>
      <c r="K104" s="11">
        <f>IF((K9/K10)&lt;0,(-1562.9+1594*EXP(-1*(K9/K10)))^-1,0.0149*(K9/K10)+0.0316)</f>
        <v>3.9751975683890578E-2</v>
      </c>
    </row>
    <row r="111" spans="10:12" x14ac:dyDescent="0.3">
      <c r="J111" s="8" t="s">
        <v>36</v>
      </c>
      <c r="K111" s="23">
        <f>K104*0.064*K8^2*(K8/K18)^K100</f>
        <v>0.3929221211259229</v>
      </c>
      <c r="L111" s="5" t="s">
        <v>34</v>
      </c>
    </row>
    <row r="131" spans="10:12" x14ac:dyDescent="0.3">
      <c r="J131" s="3" t="s">
        <v>39</v>
      </c>
      <c r="K131" s="23">
        <f>(K10-K9)/(K13+K15)</f>
        <v>0.18060606060606063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6.2675023336444868E-2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0.064*K8^2*(K161+K162*K131+K163*K131^2+K164*K131^3+K165*K131^4+K166*K131^5+K167*LN(K133))*(K168+K169*(K4/K18))</f>
        <v>6.2947379514575366E-2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10.629625399026345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41.882712765957443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4.5985601845576625</v>
      </c>
    </row>
    <row r="224" spans="10:12" x14ac:dyDescent="0.3">
      <c r="J224" s="6" t="s">
        <v>59</v>
      </c>
      <c r="K224" s="23">
        <f>K217*EXP(-3.18+3.76*EXP(-1*K210/K18)-0.95*(LN((K10-K9)/(K13+K15)))^2)</f>
        <v>0.1016849927319806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3.3751636661211117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0.32185560720130929</v>
      </c>
    </row>
    <row r="248" spans="10:12" x14ac:dyDescent="0.3">
      <c r="J248" s="6" t="s">
        <v>63</v>
      </c>
      <c r="K248" s="23">
        <f>K244*EXP(-0.3+2.04*EXP(-9.01*(K240/K18))-0.16*((K10-K9)/K13)^1.5)*K71</f>
        <v>0.17716022142516097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17.27627540026176</v>
      </c>
    </row>
    <row r="263" spans="10:12" x14ac:dyDescent="0.3">
      <c r="J263" s="8" t="s">
        <v>65</v>
      </c>
      <c r="K263" s="23">
        <f>K261*1.37*TANH(K13/(K10-K9))</f>
        <v>23.588057607216939</v>
      </c>
      <c r="L263" s="5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33C2-906C-4D39-80CA-55FED777E813}">
  <dimension ref="A3:M263"/>
  <sheetViews>
    <sheetView topLeftCell="A4" workbookViewId="0">
      <selection activeCell="K190" sqref="K190"/>
    </sheetView>
  </sheetViews>
  <sheetFormatPr defaultRowHeight="14.4" x14ac:dyDescent="0.3"/>
  <cols>
    <col min="11" max="11" width="11" bestFit="1" customWidth="1"/>
  </cols>
  <sheetData>
    <row r="3" spans="10:13" x14ac:dyDescent="0.3">
      <c r="J3" s="3" t="s">
        <v>35</v>
      </c>
      <c r="K3" s="1">
        <v>11.7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f>K6+K8*0.7</f>
        <v>13.02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5.6</v>
      </c>
      <c r="L7" s="5" t="s">
        <v>1</v>
      </c>
    </row>
    <row r="8" spans="10:13" x14ac:dyDescent="0.3">
      <c r="J8" s="3" t="s">
        <v>3</v>
      </c>
      <c r="K8" s="7">
        <f>IF(K7/K16&gt;0.15,0.15*K16,K7)</f>
        <v>5.6</v>
      </c>
      <c r="L8" s="5" t="s">
        <v>1</v>
      </c>
    </row>
    <row r="9" spans="10:13" x14ac:dyDescent="0.3">
      <c r="J9" s="3" t="s">
        <v>0</v>
      </c>
      <c r="K9" s="7">
        <f>K3-K6</f>
        <v>2.5999999999999996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3.92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4.4000000000000004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74.83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74.83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2.6724999999999994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6.4874999999999998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0.27789473684210531</v>
      </c>
      <c r="L43" s="5"/>
    </row>
    <row r="46" spans="10:12" x14ac:dyDescent="0.3">
      <c r="J46" s="4" t="s">
        <v>19</v>
      </c>
      <c r="K46" s="22">
        <f>K8/K18</f>
        <v>7.4836295603367631E-2</v>
      </c>
      <c r="L46" s="5" t="s">
        <v>1</v>
      </c>
    </row>
    <row r="49" spans="10:12" x14ac:dyDescent="0.3">
      <c r="J49" s="4" t="s">
        <v>20</v>
      </c>
      <c r="K49" s="22">
        <f>K40/K18</f>
        <v>8.6696512094079914E-2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IF(K74*K79/100+K77&gt;1,1,K74*K79/100+K77)</f>
        <v>0.18475747168893336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9.2142408622274494E-3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0.17554323082670592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8.6870036901909933E-3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-0.54713931695127038</v>
      </c>
    </row>
    <row r="104" spans="10:12" x14ac:dyDescent="0.3">
      <c r="J104" s="3" t="s">
        <v>38</v>
      </c>
      <c r="K104" s="11">
        <f>IF((K9/K10)&lt;0,(-1562.9+1594*EXP(-1*(K9/K10)))^-1,0.0149*(K9/K10)+0.0316)</f>
        <v>4.1482653061224492E-2</v>
      </c>
    </row>
    <row r="111" spans="10:12" x14ac:dyDescent="0.3">
      <c r="J111" s="8" t="s">
        <v>36</v>
      </c>
      <c r="K111" s="23">
        <f>K104*0.064*K8^2*(K8/K18)^K100</f>
        <v>0.34390618731850181</v>
      </c>
      <c r="L111" s="5" t="s">
        <v>34</v>
      </c>
    </row>
    <row r="131" spans="10:12" x14ac:dyDescent="0.3">
      <c r="J131" s="3" t="s">
        <v>39</v>
      </c>
      <c r="K131" s="23">
        <f>(K10-K9)/(K13+K15)</f>
        <v>0.16000000000000003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7.4836295603367631E-2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0.064*K8^2*(K161+K162*K131+K163*K131^2+K164*K131^3+K165*K131^4+K166*K131^5+K167*LN(K133))*(K168+K169*(K4/K18))</f>
        <v>7.1108235824781207E-2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8.874184303319069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38.751249999999999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5.1579861345306401</v>
      </c>
    </row>
    <row r="224" spans="10:12" x14ac:dyDescent="0.3">
      <c r="J224" s="6" t="s">
        <v>59</v>
      </c>
      <c r="K224" s="23">
        <f>K217*EXP(-3.18+3.76*EXP(-1*K210/K18)-0.95*(LN((K10-K9)/(K13+K15)))^2)</f>
        <v>8.2934981997552976E-2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1.0278846153846151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8.6835692307692308E-2</v>
      </c>
    </row>
    <row r="248" spans="10:12" x14ac:dyDescent="0.3">
      <c r="J248" s="6" t="s">
        <v>63</v>
      </c>
      <c r="K248" s="23">
        <f>K244*EXP(-0.3+2.04*EXP(-9.01*(K240/K18))-0.16*((K10-K9)/K13)^1.5)*K71</f>
        <v>7.0413716554150532E-2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12.63043749647462</v>
      </c>
    </row>
    <row r="263" spans="10:12" x14ac:dyDescent="0.3">
      <c r="J263" s="8" t="s">
        <v>65</v>
      </c>
      <c r="K263" s="23">
        <f>K261*1.37*TANH(K13/(K10-K9))</f>
        <v>17.27780295609902</v>
      </c>
      <c r="L263" s="5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BB01-C01F-47BA-9E39-7C8D20BBA54B}">
  <dimension ref="A3:M263"/>
  <sheetViews>
    <sheetView tabSelected="1" zoomScale="106" zoomScaleNormal="106" workbookViewId="0">
      <selection activeCell="S23" sqref="S23"/>
    </sheetView>
  </sheetViews>
  <sheetFormatPr defaultRowHeight="14.4" x14ac:dyDescent="0.3"/>
  <sheetData>
    <row r="3" spans="10:13" x14ac:dyDescent="0.3">
      <c r="J3" s="3" t="s">
        <v>35</v>
      </c>
      <c r="K3" s="1">
        <v>12.6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f>K6+K8*0.7</f>
        <v>17.57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12.1</v>
      </c>
      <c r="L7" s="5" t="s">
        <v>1</v>
      </c>
    </row>
    <row r="8" spans="10:13" x14ac:dyDescent="0.3">
      <c r="J8" s="3" t="s">
        <v>3</v>
      </c>
      <c r="K8" s="7">
        <f>IF(K7/K16&gt;0.15,0.15*K16,K7)</f>
        <v>12.1</v>
      </c>
      <c r="L8" s="5" t="s">
        <v>1</v>
      </c>
    </row>
    <row r="9" spans="10:13" x14ac:dyDescent="0.3">
      <c r="J9" s="3" t="s">
        <v>0</v>
      </c>
      <c r="K9" s="7">
        <f>K3-K6</f>
        <v>3.5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8.4700000000000006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19.899999999999999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84.87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84.87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17.885826446280987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17.885826446280987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1</v>
      </c>
      <c r="L43" s="5"/>
    </row>
    <row r="46" spans="10:12" x14ac:dyDescent="0.3">
      <c r="J46" s="4" t="s">
        <v>19</v>
      </c>
      <c r="K46" s="22">
        <f>K8/K18</f>
        <v>0.14257099092730058</v>
      </c>
      <c r="L46" s="5" t="s">
        <v>1</v>
      </c>
    </row>
    <row r="49" spans="10:12" x14ac:dyDescent="0.3">
      <c r="J49" s="4" t="s">
        <v>20</v>
      </c>
      <c r="K49" s="22">
        <f>K40/K18</f>
        <v>0.2107438016528925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IF(K74*K79/100+K77&gt;1,1,K74*K79/100+K77)</f>
        <v>0.22222724619061848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8.3794112327326385E-3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0.21384783495788584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0.88480997901792025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-0.85868950208319106</v>
      </c>
    </row>
    <row r="104" spans="10:12" x14ac:dyDescent="0.3">
      <c r="J104" s="3" t="s">
        <v>38</v>
      </c>
      <c r="K104" s="11">
        <f>IF((K9/K10)&lt;0,(-1562.9+1594*EXP(-1*(K9/K10)))^-1,0.0149*(K9/K10)+0.0316)</f>
        <v>3.7757024793388431E-2</v>
      </c>
    </row>
    <row r="111" spans="10:12" x14ac:dyDescent="0.3">
      <c r="J111" s="8" t="s">
        <v>36</v>
      </c>
      <c r="K111" s="23">
        <f>K104*0.064*K8^2*(K8/K18)^K100</f>
        <v>1.8843997360486728</v>
      </c>
      <c r="L111" s="5" t="s">
        <v>34</v>
      </c>
    </row>
    <row r="131" spans="10:12" x14ac:dyDescent="0.3">
      <c r="J131" s="3" t="s">
        <v>39</v>
      </c>
      <c r="K131" s="23">
        <f>(K10-K9)/(K13+K15)</f>
        <v>0.60242424242424253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0.14257099092730058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0.064*K8^2*(K161+K162*K131+K163*K131^2+K164*K131^3+K165*K131^4+K166*K131^5+K167*LN(K133))*(K168+K169*(K4/K18))</f>
        <v>1.7865908711779024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78.444168783907031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43.25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11.659015579840288</v>
      </c>
    </row>
    <row r="224" spans="10:12" x14ac:dyDescent="0.3">
      <c r="J224" s="6" t="s">
        <v>59</v>
      </c>
      <c r="K224" s="23">
        <f>K217*EXP(-3.18+3.76*EXP(-1*K210/K18)-0.95*(LN((K10-K9)/(K13+K15)))^2)</f>
        <v>3.6358478053683605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6.8791640178003792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2.188124490781945</v>
      </c>
    </row>
    <row r="248" spans="10:12" x14ac:dyDescent="0.3">
      <c r="J248" s="6" t="s">
        <v>63</v>
      </c>
      <c r="K248" s="23">
        <f>K244*EXP(-0.3+2.04*EXP(-9.01*(K240/K18))-0.16*((K10-K9)/K13)^1.5)*K71</f>
        <v>0.81102024664453376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107.71368722860976</v>
      </c>
    </row>
    <row r="263" spans="10:12" x14ac:dyDescent="0.3">
      <c r="J263" s="8" t="s">
        <v>65</v>
      </c>
      <c r="K263" s="23">
        <f>K261*1.37*TANH(K13/(K10-K9))</f>
        <v>109.54959762792362</v>
      </c>
      <c r="L263" s="5" t="s">
        <v>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2F19-7E80-413F-B31B-80553673AF9F}">
  <dimension ref="A3:M263"/>
  <sheetViews>
    <sheetView topLeftCell="A91" workbookViewId="0">
      <selection activeCell="K172" sqref="K172"/>
    </sheetView>
  </sheetViews>
  <sheetFormatPr defaultRowHeight="14.4" x14ac:dyDescent="0.3"/>
  <sheetData>
    <row r="3" spans="10:13" x14ac:dyDescent="0.3">
      <c r="J3" s="3" t="s">
        <v>35</v>
      </c>
      <c r="K3" s="1">
        <v>13.2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15.6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8.5</v>
      </c>
      <c r="L7" s="5" t="s">
        <v>1</v>
      </c>
    </row>
    <row r="8" spans="10:13" x14ac:dyDescent="0.3">
      <c r="J8" s="3" t="s">
        <v>3</v>
      </c>
      <c r="K8" s="7">
        <f>IF(K7/K16&gt;0.15,0.15*K16,K7)</f>
        <v>8.5</v>
      </c>
      <c r="L8" s="5" t="s">
        <v>1</v>
      </c>
    </row>
    <row r="9" spans="10:13" x14ac:dyDescent="0.3">
      <c r="J9" s="3" t="s">
        <v>0</v>
      </c>
      <c r="K9" s="7">
        <f>K3-K6</f>
        <v>4.0999999999999996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6.5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25.7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77.319999999999993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1.3644705882352923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6.4874999999999998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0.50526315789473697</v>
      </c>
      <c r="L43" s="5"/>
    </row>
    <row r="46" spans="10:12" x14ac:dyDescent="0.3">
      <c r="J46" s="4" t="s">
        <v>19</v>
      </c>
      <c r="K46" s="22">
        <f>K8/K18</f>
        <v>0.10993274702534921</v>
      </c>
      <c r="L46" s="5" t="s">
        <v>1</v>
      </c>
    </row>
    <row r="49" spans="10:12" x14ac:dyDescent="0.3">
      <c r="J49" s="4" t="s">
        <v>20</v>
      </c>
      <c r="K49" s="22">
        <f>K40/K18</f>
        <v>8.3904552509053293E-2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9.0918421842351646E-3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0.18093302781312123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1.0290918551433028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-0.59228643786982249</v>
      </c>
    </row>
    <row r="104" spans="10:12" x14ac:dyDescent="0.3">
      <c r="J104" s="3" t="s">
        <v>38</v>
      </c>
      <c r="K104" s="11">
        <f>IF((K9/K10)&lt;0,(-1562.9+1594*EXP(-1*(K9/K10)))^-1,0.0149*(K9/K10)+0.0316)</f>
        <v>4.0998461538461539E-2</v>
      </c>
    </row>
    <row r="111" spans="10:12" x14ac:dyDescent="0.3">
      <c r="J111" s="8" t="s">
        <v>36</v>
      </c>
      <c r="K111" s="23">
        <f>K104*0.064*K8^2*(K8/K18)^K100</f>
        <v>0.70099159629863739</v>
      </c>
      <c r="L111" s="5" t="s">
        <v>34</v>
      </c>
    </row>
    <row r="131" spans="10:12" x14ac:dyDescent="0.3">
      <c r="J131" s="3" t="s">
        <v>39</v>
      </c>
      <c r="K131" s="23">
        <f>(K10-K9)/(K13+K15)</f>
        <v>0.29090909090909095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0.10993274702534921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0.4481952616988078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45.716947116643908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39.342235294117643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7.9491375987734996</v>
      </c>
    </row>
    <row r="224" spans="10:12" x14ac:dyDescent="0.3">
      <c r="J224" s="6" t="s">
        <v>59</v>
      </c>
      <c r="K224" s="23">
        <f>K217*EXP(-3.18+3.76*EXP(-1*K210/K18)-0.95*(LN((K10-K9)/(K13+K15)))^2)</f>
        <v>0.74469577443236501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0.52479638009049701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8.060872398190036E-2</v>
      </c>
    </row>
    <row r="248" spans="10:12" x14ac:dyDescent="0.3">
      <c r="J248" s="6" t="s">
        <v>63</v>
      </c>
      <c r="K248" s="23">
        <f>K244*EXP(-0.3+2.04*EXP(-9.01*(K240/K18))-0.16*((K10-K9)/K13)^1.5)*K71</f>
        <v>0.38418605879357087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37.433029194225682</v>
      </c>
    </row>
    <row r="263" spans="10:12" x14ac:dyDescent="0.3">
      <c r="J263" s="8" t="s">
        <v>65</v>
      </c>
      <c r="K263" s="23">
        <f>K261*1.37*TANH(K13/(K10-K9))</f>
        <v>49.361448274922324</v>
      </c>
      <c r="L263" s="5" t="s">
        <v>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032D-140D-4E0E-8F3D-9328F5B67CA6}">
  <dimension ref="A3:M263"/>
  <sheetViews>
    <sheetView workbookViewId="0">
      <selection activeCell="K225" sqref="K225"/>
    </sheetView>
  </sheetViews>
  <sheetFormatPr defaultRowHeight="14.4" x14ac:dyDescent="0.3"/>
  <sheetData>
    <row r="3" spans="10:13" x14ac:dyDescent="0.3">
      <c r="J3" s="3" t="s">
        <v>35</v>
      </c>
      <c r="K3" s="1">
        <v>14.1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15.7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8.6999999999999993</v>
      </c>
      <c r="L7" s="5" t="s">
        <v>1</v>
      </c>
    </row>
    <row r="8" spans="10:13" x14ac:dyDescent="0.3">
      <c r="J8" s="3" t="s">
        <v>3</v>
      </c>
      <c r="K8" s="7">
        <f>IF(K7/K16&gt;0.15,0.15*K16,K7)</f>
        <v>8.6999999999999993</v>
      </c>
      <c r="L8" s="5" t="s">
        <v>1</v>
      </c>
    </row>
    <row r="9" spans="10:13" x14ac:dyDescent="0.3">
      <c r="J9" s="3" t="s">
        <v>0</v>
      </c>
      <c r="K9" s="7">
        <f>K3-K6</f>
        <v>5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6.6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25.8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77.319999999999993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-5.7767816091954103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6.4874999999999998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0.33684210526315783</v>
      </c>
      <c r="L43" s="5"/>
    </row>
    <row r="46" spans="10:12" x14ac:dyDescent="0.3">
      <c r="J46" s="4" t="s">
        <v>19</v>
      </c>
      <c r="K46" s="22">
        <f>K8/K18</f>
        <v>0.11251939989653388</v>
      </c>
      <c r="L46" s="5" t="s">
        <v>1</v>
      </c>
    </row>
    <row r="49" spans="10:12" x14ac:dyDescent="0.3">
      <c r="J49" s="4" t="s">
        <v>20</v>
      </c>
      <c r="K49" s="22">
        <f>K40/K18</f>
        <v>8.3904552509053293E-2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9.3770554845218033E-3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0.16979969129898859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0.68898679439714727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-0.4082341597796143</v>
      </c>
    </row>
    <row r="104" spans="10:12" x14ac:dyDescent="0.3">
      <c r="J104" s="3" t="s">
        <v>38</v>
      </c>
      <c r="K104" s="11">
        <f>IF((K9/K10)&lt;0,(-1562.9+1594*EXP(-1*(K9/K10)))^-1,0.0149*(K9/K10)+0.0316)</f>
        <v>4.2887878787878794E-2</v>
      </c>
    </row>
    <row r="111" spans="10:12" x14ac:dyDescent="0.3">
      <c r="J111" s="8" t="s">
        <v>36</v>
      </c>
      <c r="K111" s="23">
        <f>K104*0.064*K8^2*(K8/K18)^K100</f>
        <v>0.50684413833248931</v>
      </c>
      <c r="L111" s="5" t="s">
        <v>34</v>
      </c>
    </row>
    <row r="131" spans="10:12" x14ac:dyDescent="0.3">
      <c r="J131" s="3" t="s">
        <v>39</v>
      </c>
      <c r="K131" s="23">
        <f>(K10-K9)/(K13+K15)</f>
        <v>0.19393939393939388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0.11251939989653388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0.26752368609754157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31.346500986992361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35.771609195402291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7.488408815257654</v>
      </c>
    </row>
    <row r="224" spans="10:12" x14ac:dyDescent="0.3">
      <c r="J224" s="6" t="s">
        <v>59</v>
      </c>
      <c r="K224" s="23">
        <f>K217*EXP(-3.18+3.76*EXP(-1*K210/K18)-0.95*(LN((K10-K9)/(K13+K15)))^2)</f>
        <v>0.25793258114151152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-2.2218390804597732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-0.22751632183908072</v>
      </c>
    </row>
    <row r="248" spans="10:12" x14ac:dyDescent="0.3">
      <c r="J248" s="6" t="s">
        <v>63</v>
      </c>
      <c r="K248" s="23">
        <f>K244*EXP(-0.3+2.04*EXP(-9.01*(K240/K18))-0.16*((K10-K9)/K13)^1.5)*K71</f>
        <v>-2.2956984894482124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-49.450689996085877</v>
      </c>
    </row>
    <row r="263" spans="10:12" x14ac:dyDescent="0.3">
      <c r="J263" s="8" t="s">
        <v>65</v>
      </c>
      <c r="K263" s="23">
        <f>K261*1.37*TANH(K13/(K10-K9))</f>
        <v>-67.390866917344027</v>
      </c>
      <c r="L263" s="5" t="s">
        <v>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40FE-6E90-42A4-A2AC-FE8FF5797AA6}">
  <dimension ref="A3:M263"/>
  <sheetViews>
    <sheetView workbookViewId="0">
      <selection activeCell="L228" sqref="L228"/>
    </sheetView>
  </sheetViews>
  <sheetFormatPr defaultRowHeight="14.4" x14ac:dyDescent="0.3"/>
  <sheetData>
    <row r="3" spans="10:13" x14ac:dyDescent="0.3">
      <c r="J3" s="3" t="s">
        <v>35</v>
      </c>
      <c r="K3" s="1">
        <v>14.9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15.9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9</v>
      </c>
      <c r="L7" s="5" t="s">
        <v>1</v>
      </c>
    </row>
    <row r="8" spans="10:13" x14ac:dyDescent="0.3">
      <c r="J8" s="3" t="s">
        <v>3</v>
      </c>
      <c r="K8" s="7">
        <f>IF(K7/K16&gt;0.15,0.15*K16,K7)</f>
        <v>9</v>
      </c>
      <c r="L8" s="5" t="s">
        <v>1</v>
      </c>
    </row>
    <row r="9" spans="10:13" x14ac:dyDescent="0.3">
      <c r="J9" s="3" t="s">
        <v>0</v>
      </c>
      <c r="K9" s="7">
        <f>K3-K6</f>
        <v>5.8000000000000007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6.8000000000000007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23.3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77.319999999999993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-11.168444444444461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6.4874999999999998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0.21052631578947367</v>
      </c>
      <c r="L43" s="5"/>
    </row>
    <row r="46" spans="10:12" x14ac:dyDescent="0.3">
      <c r="J46" s="4" t="s">
        <v>19</v>
      </c>
      <c r="K46" s="22">
        <f>K8/K18</f>
        <v>0.11639937920331092</v>
      </c>
      <c r="L46" s="5" t="s">
        <v>1</v>
      </c>
    </row>
    <row r="49" spans="10:12" x14ac:dyDescent="0.3">
      <c r="J49" s="4" t="s">
        <v>20</v>
      </c>
      <c r="K49" s="22">
        <f>K40/K18</f>
        <v>8.3904552509053293E-2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9.568943868305901E-3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0.16269744478958698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0.41628640014524265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-0.25585847750865054</v>
      </c>
    </row>
    <row r="104" spans="10:12" x14ac:dyDescent="0.3">
      <c r="J104" s="3" t="s">
        <v>38</v>
      </c>
      <c r="K104" s="11">
        <f>IF((K9/K10)&lt;0,(-1562.9+1594*EXP(-1*(K9/K10)))^-1,0.0149*(K9/K10)+0.0316)</f>
        <v>4.4308823529411769E-2</v>
      </c>
    </row>
    <row r="111" spans="10:12" x14ac:dyDescent="0.3">
      <c r="J111" s="8" t="s">
        <v>36</v>
      </c>
      <c r="K111" s="23">
        <f>K104*0.064*K8^2*(K8/K18)^K100</f>
        <v>0.39823520749008723</v>
      </c>
      <c r="L111" s="5" t="s">
        <v>34</v>
      </c>
    </row>
    <row r="131" spans="10:12" x14ac:dyDescent="0.3">
      <c r="J131" s="3" t="s">
        <v>39</v>
      </c>
      <c r="K131" s="23">
        <f>(K10-K9)/(K13+K15)</f>
        <v>0.12121212121212122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0.11639937920331092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9.2146716112016885E-2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20.763892376670164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33.075777777777766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7.2550838827973116</v>
      </c>
    </row>
    <row r="224" spans="10:12" x14ac:dyDescent="0.3">
      <c r="J224" s="6" t="s">
        <v>59</v>
      </c>
      <c r="K224" s="23">
        <f>K217*EXP(-3.18+3.76*EXP(-1*K210/K18)-0.95*(LN((K10-K9)/(K13+K15)))^2)</f>
        <v>5.0930582024303311E-2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-4.2955555555555618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-0.27491555555555597</v>
      </c>
    </row>
    <row r="248" spans="10:12" x14ac:dyDescent="0.3">
      <c r="J248" s="6" t="s">
        <v>63</v>
      </c>
      <c r="K248" s="23">
        <f>K244*EXP(-0.3+2.04*EXP(-9.01*(K240/K18))-0.16*((K10-K9)/K13)^1.5)*K71</f>
        <v>-5.8038052917408569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-155.4404267941967</v>
      </c>
    </row>
    <row r="263" spans="10:12" x14ac:dyDescent="0.3">
      <c r="J263" s="8" t="s">
        <v>65</v>
      </c>
      <c r="K263" s="23">
        <f>K261*1.37*TANH(K13/(K10-K9))</f>
        <v>-212.92150719308742</v>
      </c>
      <c r="L263" s="5" t="s">
        <v>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8699-AAA8-4EC0-99B3-D212211DC1BF}">
  <dimension ref="A3:M263"/>
  <sheetViews>
    <sheetView workbookViewId="0">
      <selection activeCell="K16" sqref="K16"/>
    </sheetView>
  </sheetViews>
  <sheetFormatPr defaultRowHeight="14.4" x14ac:dyDescent="0.3"/>
  <sheetData>
    <row r="3" spans="10:13" x14ac:dyDescent="0.3">
      <c r="J3" s="3" t="s">
        <v>35</v>
      </c>
      <c r="K3" s="1">
        <v>15.7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16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9.1999999999999993</v>
      </c>
      <c r="L7" s="5" t="s">
        <v>1</v>
      </c>
    </row>
    <row r="8" spans="10:13" x14ac:dyDescent="0.3">
      <c r="J8" s="3" t="s">
        <v>3</v>
      </c>
      <c r="K8" s="7">
        <f>IF(K7/K16&gt;0.15,0.15*K16,K7)</f>
        <v>9.1999999999999993</v>
      </c>
      <c r="L8" s="5" t="s">
        <v>1</v>
      </c>
    </row>
    <row r="9" spans="10:13" x14ac:dyDescent="0.3">
      <c r="J9" s="3" t="s">
        <v>0</v>
      </c>
      <c r="K9" s="7">
        <f>K3-K6</f>
        <v>6.6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6.9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19.8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77.319999999999993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-16.80869565217391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6.4874999999999998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6.315789473684226E-2</v>
      </c>
      <c r="L43" s="5"/>
    </row>
    <row r="46" spans="10:12" x14ac:dyDescent="0.3">
      <c r="J46" s="4" t="s">
        <v>19</v>
      </c>
      <c r="K46" s="22">
        <f>K8/K18</f>
        <v>0.11898603207449561</v>
      </c>
      <c r="L46" s="5" t="s">
        <v>1</v>
      </c>
    </row>
    <row r="49" spans="10:12" x14ac:dyDescent="0.3">
      <c r="J49" s="4" t="s">
        <v>20</v>
      </c>
      <c r="K49" s="22">
        <f>K40/K18</f>
        <v>8.3904552509053293E-2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9.7576408828354798E-3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0.15600308361608059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0.11605767284908816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-7.6780718336483922E-2</v>
      </c>
    </row>
    <row r="104" spans="10:12" x14ac:dyDescent="0.3">
      <c r="J104" s="3" t="s">
        <v>38</v>
      </c>
      <c r="K104" s="11">
        <f>IF((K9/K10)&lt;0,(-1562.9+1594*EXP(-1*(K9/K10)))^-1,0.0149*(K9/K10)+0.0316)</f>
        <v>4.5852173913043484E-2</v>
      </c>
    </row>
    <row r="111" spans="10:12" x14ac:dyDescent="0.3">
      <c r="J111" s="8" t="s">
        <v>36</v>
      </c>
      <c r="K111" s="23">
        <f>K104*0.064*K8^2*(K8/K18)^K100</f>
        <v>0.2924823357082908</v>
      </c>
      <c r="L111" s="5" t="s">
        <v>34</v>
      </c>
    </row>
    <row r="131" spans="10:12" x14ac:dyDescent="0.3">
      <c r="J131" s="3" t="s">
        <v>39</v>
      </c>
      <c r="K131" s="23">
        <f>(K10-K9)/(K13+K15)</f>
        <v>3.6363636363636452E-2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0.11898603207449561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-0.18207506410876201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8.9264749934943186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30.255652173913042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6.87943846468582</v>
      </c>
    </row>
    <row r="224" spans="10:12" x14ac:dyDescent="0.3">
      <c r="J224" s="6" t="s">
        <v>59</v>
      </c>
      <c r="K224" s="23">
        <f>K217*EXP(-3.18+3.76*EXP(-1*K210/K18)-0.95*(LN((K10-K9)/(K13+K15)))^2)</f>
        <v>1.0689271292595536E-4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-6.4648829431438113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-0.12412575250836147</v>
      </c>
    </row>
    <row r="248" spans="10:12" x14ac:dyDescent="0.3">
      <c r="J248" s="6" t="s">
        <v>63</v>
      </c>
      <c r="K248" s="23">
        <f>K244*EXP(-0.3+2.04*EXP(-9.01*(K240/K18))-0.16*((K10-K9)/K13)^1.5)*K71</f>
        <v>-6.9876778355392215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-193.04392171357682</v>
      </c>
    </row>
    <row r="263" spans="10:12" x14ac:dyDescent="0.3">
      <c r="J263" s="8" t="s">
        <v>65</v>
      </c>
      <c r="K263" s="23">
        <f>K261*1.37*TANH(K13/(K10-K9))</f>
        <v>-264.47017274759088</v>
      </c>
      <c r="L263" s="5" t="s">
        <v>34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3C49-0C00-42B7-B372-A9051CE70C89}">
  <dimension ref="A3:M263"/>
  <sheetViews>
    <sheetView workbookViewId="0">
      <selection activeCell="K225" sqref="K225"/>
    </sheetView>
  </sheetViews>
  <sheetFormatPr defaultRowHeight="14.4" x14ac:dyDescent="0.3"/>
  <sheetData>
    <row r="3" spans="10:13" x14ac:dyDescent="0.3">
      <c r="J3" s="3" t="s">
        <v>35</v>
      </c>
      <c r="K3" s="1">
        <v>10.1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11.3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2.9</v>
      </c>
      <c r="L7" s="5" t="s">
        <v>1</v>
      </c>
    </row>
    <row r="8" spans="10:13" x14ac:dyDescent="0.3">
      <c r="J8" s="3" t="s">
        <v>3</v>
      </c>
      <c r="K8" s="7">
        <f>IF(K7/K16&gt;0.15,0.15*K16,K7)</f>
        <v>2.9</v>
      </c>
      <c r="L8" s="5" t="s">
        <v>1</v>
      </c>
    </row>
    <row r="9" spans="10:13" x14ac:dyDescent="0.3">
      <c r="J9" s="3" t="s">
        <v>0</v>
      </c>
      <c r="K9" s="7">
        <f>K3-K6</f>
        <v>1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2.2000000000000011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3.5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77.319999999999993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str">
        <f>IF(0.035&lt;=(K8/K16),IF(K8/K16&lt;=0.15,"satisfied","not satisfied"))</f>
        <v>satisfied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11.997931034482747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11.997931034482747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0.25263157894736865</v>
      </c>
      <c r="L43" s="5"/>
    </row>
    <row r="46" spans="10:12" x14ac:dyDescent="0.3">
      <c r="J46" s="4" t="s">
        <v>19</v>
      </c>
      <c r="K46" s="22">
        <f>K8/K18</f>
        <v>3.7506466632177965E-2</v>
      </c>
      <c r="L46" s="5" t="s">
        <v>1</v>
      </c>
    </row>
    <row r="49" spans="10:12" x14ac:dyDescent="0.3">
      <c r="J49" s="4" t="s">
        <v>20</v>
      </c>
      <c r="K49" s="22">
        <f>K40/K18</f>
        <v>0.15517241379310331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8.6303485254215946E-3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0.20051442823073445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0.17200340797823316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-0.81288429752066138</v>
      </c>
    </row>
    <row r="104" spans="10:12" x14ac:dyDescent="0.3">
      <c r="J104" s="3" t="s">
        <v>38</v>
      </c>
      <c r="K104" s="11">
        <f>IF((K9/K10)&lt;0,(-1562.9+1594*EXP(-1*(K9/K10)))^-1,0.0149*(K9/K10)+0.0316)</f>
        <v>3.8372727272727274E-2</v>
      </c>
    </row>
    <row r="111" spans="10:12" x14ac:dyDescent="0.3">
      <c r="J111" s="8" t="s">
        <v>36</v>
      </c>
      <c r="K111" s="23">
        <f>K104*0.064*K8^2*(K8/K18)^K100</f>
        <v>0.29791018782001127</v>
      </c>
      <c r="L111" s="5" t="s">
        <v>34</v>
      </c>
    </row>
    <row r="131" spans="10:12" x14ac:dyDescent="0.3">
      <c r="J131" s="3" t="s">
        <v>39</v>
      </c>
      <c r="K131" s="23">
        <f>(K10-K9)/(K13+K15)</f>
        <v>0.14545454545454559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3.7506466632177965E-2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1.1641723075577837E-2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11.053280863639269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43.25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2.7809774728608141</v>
      </c>
    </row>
    <row r="224" spans="10:12" x14ac:dyDescent="0.3">
      <c r="J224" s="6" t="s">
        <v>59</v>
      </c>
      <c r="K224" s="23">
        <f>K217*EXP(-3.18+3.76*EXP(-1*K210/K18)-0.95*(LN((K10-K9)/(K13+K15)))^2)</f>
        <v>2.9041999342880296E-2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4.6145888594164406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0.35440042440318298</v>
      </c>
    </row>
    <row r="248" spans="10:12" x14ac:dyDescent="0.3">
      <c r="J248" s="6" t="s">
        <v>63</v>
      </c>
      <c r="K248" s="23">
        <f>K244*EXP(-0.3+2.04*EXP(-9.01*(K240/K18))-0.16*((K10-K9)/K13)^1.5)*K71</f>
        <v>0.84692859789056973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33.249114815900519</v>
      </c>
    </row>
    <row r="263" spans="10:12" x14ac:dyDescent="0.3">
      <c r="J263" s="8" t="s">
        <v>65</v>
      </c>
      <c r="K263" s="23">
        <f>K261*1.37*TANH(K13/(K10-K9))</f>
        <v>45.518081976983368</v>
      </c>
      <c r="L263" s="5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248F-F6E3-45B6-B3C8-CC5122B06860}">
  <dimension ref="A3:M263"/>
  <sheetViews>
    <sheetView workbookViewId="0">
      <selection activeCell="K225" sqref="K225"/>
    </sheetView>
  </sheetViews>
  <sheetFormatPr defaultRowHeight="14.4" x14ac:dyDescent="0.3"/>
  <sheetData>
    <row r="3" spans="10:13" x14ac:dyDescent="0.3">
      <c r="J3" s="3" t="s">
        <v>35</v>
      </c>
      <c r="K3" s="1">
        <v>9.4</v>
      </c>
      <c r="L3" t="s">
        <v>1</v>
      </c>
    </row>
    <row r="4" spans="10:13" x14ac:dyDescent="0.3">
      <c r="J4" s="3" t="s">
        <v>2</v>
      </c>
      <c r="K4" s="1">
        <v>43.25</v>
      </c>
      <c r="L4" s="5" t="s">
        <v>1</v>
      </c>
    </row>
    <row r="5" spans="10:13" x14ac:dyDescent="0.3">
      <c r="J5" s="3" t="s">
        <v>6</v>
      </c>
      <c r="K5" s="1">
        <v>11.7</v>
      </c>
      <c r="L5" s="5" t="s">
        <v>1</v>
      </c>
    </row>
    <row r="6" spans="10:13" x14ac:dyDescent="0.3">
      <c r="J6" s="3" t="s">
        <v>4</v>
      </c>
      <c r="K6" s="1">
        <v>9.1</v>
      </c>
      <c r="L6" s="5" t="s">
        <v>1</v>
      </c>
    </row>
    <row r="7" spans="10:13" x14ac:dyDescent="0.3">
      <c r="J7" s="3" t="s">
        <v>85</v>
      </c>
      <c r="K7" s="1">
        <v>1.5</v>
      </c>
      <c r="L7" s="5" t="s">
        <v>1</v>
      </c>
    </row>
    <row r="8" spans="10:13" x14ac:dyDescent="0.3">
      <c r="J8" s="3" t="s">
        <v>3</v>
      </c>
      <c r="K8" s="7">
        <f>IF(K7/K16&gt;0.15,0.15*K16,K7)</f>
        <v>1.5</v>
      </c>
      <c r="L8" s="5" t="s">
        <v>1</v>
      </c>
    </row>
    <row r="9" spans="10:13" x14ac:dyDescent="0.3">
      <c r="J9" s="3" t="s">
        <v>0</v>
      </c>
      <c r="K9" s="7">
        <f>K3-K6</f>
        <v>0.30000000000000071</v>
      </c>
      <c r="L9" s="5" t="s">
        <v>1</v>
      </c>
      <c r="M9" s="10" t="s">
        <v>57</v>
      </c>
    </row>
    <row r="10" spans="10:13" x14ac:dyDescent="0.3">
      <c r="J10" s="4" t="s">
        <v>5</v>
      </c>
      <c r="K10">
        <f>K5-K6</f>
        <v>2.5999999999999996</v>
      </c>
      <c r="L10" s="5" t="s">
        <v>1</v>
      </c>
    </row>
    <row r="11" spans="10:13" x14ac:dyDescent="0.3">
      <c r="J11" s="4" t="s">
        <v>7</v>
      </c>
      <c r="K11" s="1">
        <f>45/12</f>
        <v>3.75</v>
      </c>
      <c r="L11" s="5" t="s">
        <v>1</v>
      </c>
    </row>
    <row r="12" spans="10:13" x14ac:dyDescent="0.3">
      <c r="J12" s="4" t="s">
        <v>8</v>
      </c>
      <c r="K12" s="1">
        <v>1</v>
      </c>
      <c r="L12" s="5" t="s">
        <v>1</v>
      </c>
    </row>
    <row r="13" spans="10:13" x14ac:dyDescent="0.3">
      <c r="J13" s="4" t="s">
        <v>9</v>
      </c>
      <c r="K13">
        <f>K11+K12</f>
        <v>4.75</v>
      </c>
      <c r="L13" s="5" t="s">
        <v>1</v>
      </c>
    </row>
    <row r="14" spans="10:13" x14ac:dyDescent="0.3">
      <c r="J14" s="4" t="s">
        <v>10</v>
      </c>
      <c r="K14" s="1">
        <v>3.7</v>
      </c>
      <c r="L14" s="5" t="s">
        <v>1</v>
      </c>
    </row>
    <row r="15" spans="10:13" x14ac:dyDescent="0.3">
      <c r="J15" s="4" t="s">
        <v>11</v>
      </c>
      <c r="K15" s="1">
        <v>3.5</v>
      </c>
      <c r="L15" s="5" t="s">
        <v>1</v>
      </c>
    </row>
    <row r="16" spans="10:13" x14ac:dyDescent="0.3">
      <c r="J16" s="4" t="s">
        <v>12</v>
      </c>
      <c r="K16" s="1">
        <v>77.319999999999993</v>
      </c>
      <c r="L16" s="5" t="s">
        <v>1</v>
      </c>
    </row>
    <row r="17" spans="1:13" x14ac:dyDescent="0.3">
      <c r="J17" s="4" t="s">
        <v>13</v>
      </c>
      <c r="K17" s="1">
        <v>4.0999999999999996</v>
      </c>
      <c r="L17" s="5" t="s">
        <v>14</v>
      </c>
    </row>
    <row r="18" spans="1:13" x14ac:dyDescent="0.3">
      <c r="J18" s="24" t="s">
        <v>15</v>
      </c>
      <c r="K18" s="7">
        <f>IF((K7/K16)&lt;0.035,K7/0.035,K16)</f>
        <v>42.857142857142854</v>
      </c>
      <c r="L18" s="25" t="s">
        <v>1</v>
      </c>
      <c r="M18" s="7"/>
    </row>
    <row r="21" spans="1:1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3" x14ac:dyDescent="0.3">
      <c r="A23" s="20" t="s">
        <v>86</v>
      </c>
      <c r="B23" s="20"/>
      <c r="C23" s="21" t="b">
        <f>IF(0.035&lt;=(K8/K16),IF(K8/K16&lt;=0.15,"satisfied","not satisfied"))</f>
        <v>0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3">
      <c r="A24" s="20" t="s">
        <v>87</v>
      </c>
      <c r="B24" s="20"/>
      <c r="C24" s="21" t="str">
        <f>IF(3&lt;=K17,IF(K17&lt;=10,"satisfied","not satisfied"))</f>
        <v>satisfied</v>
      </c>
      <c r="D24" s="20"/>
      <c r="E24" s="20"/>
      <c r="F24" s="20"/>
      <c r="G24" s="20"/>
      <c r="H24" s="20"/>
      <c r="I24" s="20"/>
      <c r="J24" s="20"/>
      <c r="K24" s="20"/>
      <c r="L24" s="20"/>
    </row>
    <row r="37" spans="10:12" x14ac:dyDescent="0.3">
      <c r="J37" s="3" t="s">
        <v>16</v>
      </c>
      <c r="K37" s="22">
        <f>(K18-(K18/K8)*(K9+(K8/2)))</f>
        <v>12.857142857142836</v>
      </c>
      <c r="L37" s="5" t="s">
        <v>1</v>
      </c>
    </row>
    <row r="40" spans="10:12" x14ac:dyDescent="0.3">
      <c r="J40" s="3" t="s">
        <v>17</v>
      </c>
      <c r="K40" s="22">
        <f>IF((K37/K4)&lt;0.15,0.15*K4,K37)</f>
        <v>12.857142857142836</v>
      </c>
      <c r="L40" s="5" t="s">
        <v>1</v>
      </c>
    </row>
    <row r="43" spans="10:12" x14ac:dyDescent="0.3">
      <c r="J43" s="4" t="s">
        <v>18</v>
      </c>
      <c r="K43" s="22">
        <f>IF((K10-K9)&lt;=0,0,IF((K10-K9)&lt;=K13,(K10-K9)/K13,1))</f>
        <v>0.48421052631578926</v>
      </c>
      <c r="L43" s="5"/>
    </row>
    <row r="46" spans="10:12" x14ac:dyDescent="0.3">
      <c r="J46" s="4" t="s">
        <v>19</v>
      </c>
      <c r="K46" s="22">
        <f>K8/K18</f>
        <v>3.5000000000000003E-2</v>
      </c>
      <c r="L46" s="5" t="s">
        <v>1</v>
      </c>
    </row>
    <row r="49" spans="10:12" x14ac:dyDescent="0.3">
      <c r="J49" s="4" t="s">
        <v>20</v>
      </c>
      <c r="K49" s="22">
        <f>K40/K18</f>
        <v>0.29999999999999954</v>
      </c>
      <c r="L49" s="5" t="s">
        <v>1</v>
      </c>
    </row>
    <row r="56" spans="10:12" x14ac:dyDescent="0.3">
      <c r="J56" s="3" t="s">
        <v>21</v>
      </c>
      <c r="K56" s="22">
        <f>-0.1*K11-0.588</f>
        <v>-0.96299999999999997</v>
      </c>
      <c r="L56" s="5" t="s">
        <v>1</v>
      </c>
    </row>
    <row r="58" spans="10:12" x14ac:dyDescent="0.3">
      <c r="J58" s="3" t="s">
        <v>22</v>
      </c>
      <c r="K58" s="22">
        <f>-0.18*K11+56.7</f>
        <v>56.025000000000006</v>
      </c>
      <c r="L58" s="5" t="s">
        <v>1</v>
      </c>
    </row>
    <row r="60" spans="10:12" x14ac:dyDescent="0.3">
      <c r="J60" s="3" t="s">
        <v>23</v>
      </c>
      <c r="K60" s="22">
        <f>0.0028*K11+0.0454</f>
        <v>5.5900000000000005E-2</v>
      </c>
      <c r="L60" s="5" t="s">
        <v>1</v>
      </c>
    </row>
    <row r="62" spans="10:12" x14ac:dyDescent="0.3">
      <c r="J62" s="3" t="s">
        <v>24</v>
      </c>
      <c r="K62" s="22">
        <f>0.2352*K11-193.6</f>
        <v>-192.71799999999999</v>
      </c>
      <c r="L62" s="5" t="s">
        <v>1</v>
      </c>
    </row>
    <row r="64" spans="10:12" x14ac:dyDescent="0.3">
      <c r="J64" s="3" t="s">
        <v>25</v>
      </c>
      <c r="K64" s="22">
        <f>-0.00006*K11-0.0003</f>
        <v>-5.2499999999999997E-4</v>
      </c>
      <c r="L64" s="5" t="s">
        <v>1</v>
      </c>
    </row>
    <row r="66" spans="10:13" x14ac:dyDescent="0.3">
      <c r="J66" s="3" t="s">
        <v>26</v>
      </c>
      <c r="K66" s="22">
        <f>0.184*K11-0.608</f>
        <v>8.1999999999999962E-2</v>
      </c>
      <c r="L66" s="5" t="s">
        <v>1</v>
      </c>
    </row>
    <row r="68" spans="10:13" x14ac:dyDescent="0.3">
      <c r="J68" s="3" t="s">
        <v>27</v>
      </c>
      <c r="K68" s="22">
        <f>2.1*K11+1.56</f>
        <v>9.4350000000000005</v>
      </c>
      <c r="L68" s="5" t="s">
        <v>1</v>
      </c>
    </row>
    <row r="71" spans="10:13" x14ac:dyDescent="0.3">
      <c r="J71" s="3" t="s">
        <v>32</v>
      </c>
      <c r="K71" s="22">
        <f>IF(K74*K79+K77&gt;1,1,K74*K79+K77)</f>
        <v>1</v>
      </c>
    </row>
    <row r="72" spans="10:13" x14ac:dyDescent="0.3">
      <c r="J72" s="3"/>
    </row>
    <row r="73" spans="10:13" x14ac:dyDescent="0.3">
      <c r="J73" s="3"/>
    </row>
    <row r="74" spans="10:13" x14ac:dyDescent="0.3">
      <c r="J74" s="3" t="s">
        <v>28</v>
      </c>
      <c r="K74" s="22">
        <f>0.0123-0.0045*EXP((-K9/K10))+0.0014*LN(K4/K18)</f>
        <v>8.3031696757577995E-3</v>
      </c>
    </row>
    <row r="75" spans="10:13" x14ac:dyDescent="0.3">
      <c r="J75" s="3"/>
    </row>
    <row r="76" spans="10:13" x14ac:dyDescent="0.3">
      <c r="J76" s="3"/>
    </row>
    <row r="77" spans="10:13" x14ac:dyDescent="0.3">
      <c r="J77" s="3" t="s">
        <v>29</v>
      </c>
      <c r="K77" s="22">
        <f>EXP(-2.477+1.002*(EXP(-K9/K10))-0.403*LN(K4/K18))</f>
        <v>0.20436004498666191</v>
      </c>
    </row>
    <row r="78" spans="10:13" x14ac:dyDescent="0.3">
      <c r="J78" s="3"/>
    </row>
    <row r="79" spans="10:13" x14ac:dyDescent="0.3">
      <c r="J79" s="12" t="s">
        <v>30</v>
      </c>
      <c r="K79" s="13">
        <v>100</v>
      </c>
      <c r="L79" s="11" t="s">
        <v>31</v>
      </c>
      <c r="M79" s="11"/>
    </row>
    <row r="88" spans="10:12" x14ac:dyDescent="0.3">
      <c r="J88" s="8" t="s">
        <v>33</v>
      </c>
      <c r="K88" s="22">
        <f>0.064*K40*K43*(-1.3*(K8/K14)+1.8)*(1.35+0.35*TANH(1.2*K17-8.5))*(K56+K58*K46+K60/K49+K62*K46^2+K64/K49^2+K66*K46/K49+K68*K46^3)*K71</f>
        <v>0.4832506045657502</v>
      </c>
      <c r="L88" s="5" t="s">
        <v>34</v>
      </c>
    </row>
    <row r="100" spans="10:12" x14ac:dyDescent="0.3">
      <c r="J100" s="3" t="s">
        <v>37</v>
      </c>
      <c r="K100" s="22">
        <f>0.6588*(K9/K10)^2+0.5368*(K9/K10)-1.193</f>
        <v>-1.1222905325443786</v>
      </c>
    </row>
    <row r="104" spans="10:12" x14ac:dyDescent="0.3">
      <c r="J104" s="3" t="s">
        <v>38</v>
      </c>
      <c r="K104" s="11">
        <f>IF((K9/K10)&lt;0,(-1562.9+1594*EXP(-1*(K9/K10)))^-1,0.0149*(K9/K10)+0.0316)</f>
        <v>3.3319230769230775E-2</v>
      </c>
    </row>
    <row r="111" spans="10:12" x14ac:dyDescent="0.3">
      <c r="J111" s="8" t="s">
        <v>36</v>
      </c>
      <c r="K111" s="23">
        <f>K104*0.064*K8^2*(K8/K18)^K100</f>
        <v>0.20655518840519518</v>
      </c>
      <c r="L111" s="5" t="s">
        <v>34</v>
      </c>
    </row>
    <row r="131" spans="10:12" x14ac:dyDescent="0.3">
      <c r="J131" s="3" t="s">
        <v>39</v>
      </c>
      <c r="K131" s="23">
        <f>(K10-K9)/(K13+K15)</f>
        <v>0.27878787878787864</v>
      </c>
      <c r="L131" s="5" t="s">
        <v>1</v>
      </c>
    </row>
    <row r="132" spans="10:12" x14ac:dyDescent="0.3">
      <c r="L132" s="5"/>
    </row>
    <row r="133" spans="10:12" x14ac:dyDescent="0.3">
      <c r="J133" s="3" t="s">
        <v>40</v>
      </c>
      <c r="K133" s="23">
        <f>K8/K18</f>
        <v>3.5000000000000003E-2</v>
      </c>
      <c r="L133" s="5" t="s">
        <v>1</v>
      </c>
    </row>
    <row r="161" spans="10:12" x14ac:dyDescent="0.3">
      <c r="J161" s="3" t="s">
        <v>41</v>
      </c>
      <c r="K161" s="23">
        <v>-9.3799999999999994E-2</v>
      </c>
    </row>
    <row r="162" spans="10:12" x14ac:dyDescent="0.3">
      <c r="J162" s="3" t="s">
        <v>42</v>
      </c>
      <c r="K162" s="23">
        <v>1.6196999999999999</v>
      </c>
    </row>
    <row r="163" spans="10:12" x14ac:dyDescent="0.3">
      <c r="J163" s="3" t="s">
        <v>43</v>
      </c>
      <c r="K163" s="23">
        <v>-1.4792000000000001</v>
      </c>
    </row>
    <row r="164" spans="10:12" x14ac:dyDescent="0.3">
      <c r="J164" s="3" t="s">
        <v>44</v>
      </c>
      <c r="K164" s="23">
        <v>0.53669999999999995</v>
      </c>
    </row>
    <row r="165" spans="10:12" x14ac:dyDescent="0.3">
      <c r="J165" s="3" t="s">
        <v>45</v>
      </c>
      <c r="K165" s="23">
        <v>-8.77E-2</v>
      </c>
    </row>
    <row r="166" spans="10:12" x14ac:dyDescent="0.3">
      <c r="J166" s="3" t="s">
        <v>46</v>
      </c>
      <c r="K166" s="23">
        <v>5.4000000000000003E-3</v>
      </c>
    </row>
    <row r="167" spans="10:12" x14ac:dyDescent="0.3">
      <c r="J167" s="3" t="s">
        <v>47</v>
      </c>
      <c r="K167" s="23">
        <v>1.9E-2</v>
      </c>
    </row>
    <row r="168" spans="10:12" x14ac:dyDescent="0.3">
      <c r="J168" s="3" t="s">
        <v>48</v>
      </c>
      <c r="K168" s="23">
        <v>0.60440000000000005</v>
      </c>
    </row>
    <row r="169" spans="10:12" x14ac:dyDescent="0.3">
      <c r="J169" s="3" t="s">
        <v>49</v>
      </c>
      <c r="K169" s="23">
        <v>-0.28299999999999997</v>
      </c>
    </row>
    <row r="172" spans="10:12" x14ac:dyDescent="0.3">
      <c r="J172" s="8" t="s">
        <v>50</v>
      </c>
      <c r="K172" s="23">
        <f>0.0624*K8^2*(K161+K162*K131+K163*K131^2+K164*K131^3+K165*K131^4+K166*K131^5+K167*LN(K133))*(K168+K169*(K4/K18))</f>
        <v>8.5133361813670878E-3</v>
      </c>
      <c r="L172" s="5" t="s">
        <v>34</v>
      </c>
    </row>
    <row r="190" spans="10:11" x14ac:dyDescent="0.3">
      <c r="J190" s="3" t="s">
        <v>51</v>
      </c>
      <c r="K190" s="23">
        <f>-0.0125*(K13+K15)+0.926</f>
        <v>0.82287500000000002</v>
      </c>
    </row>
    <row r="191" spans="10:11" x14ac:dyDescent="0.3">
      <c r="J191" s="3"/>
    </row>
    <row r="192" spans="10:11" x14ac:dyDescent="0.3">
      <c r="J192" s="3" t="s">
        <v>52</v>
      </c>
      <c r="K192" s="23">
        <f>0.00659*(K13+K15)-0.0924</f>
        <v>-3.803249999999999E-2</v>
      </c>
    </row>
    <row r="193" spans="10:12" x14ac:dyDescent="0.3">
      <c r="J193" s="3"/>
    </row>
    <row r="194" spans="10:12" x14ac:dyDescent="0.3">
      <c r="J194" s="3" t="s">
        <v>53</v>
      </c>
      <c r="K194" s="23">
        <f>-0.000234*(K13+K15)-0.0031</f>
        <v>-5.0305000000000002E-3</v>
      </c>
    </row>
    <row r="195" spans="10:12" x14ac:dyDescent="0.3">
      <c r="J195" s="3"/>
    </row>
    <row r="196" spans="10:12" x14ac:dyDescent="0.3">
      <c r="J196" s="3" t="s">
        <v>55</v>
      </c>
      <c r="K196" s="1">
        <v>3.625</v>
      </c>
      <c r="L196" s="5" t="s">
        <v>1</v>
      </c>
    </row>
    <row r="197" spans="10:12" x14ac:dyDescent="0.3">
      <c r="J197" s="3"/>
      <c r="L197" s="5"/>
    </row>
    <row r="198" spans="10:12" x14ac:dyDescent="0.3">
      <c r="J198" s="3" t="s">
        <v>54</v>
      </c>
      <c r="K198" s="23">
        <f>K4-2*K196</f>
        <v>36</v>
      </c>
      <c r="L198" s="5" t="s">
        <v>1</v>
      </c>
    </row>
    <row r="200" spans="10:12" x14ac:dyDescent="0.3">
      <c r="J200" s="9" t="s">
        <v>56</v>
      </c>
      <c r="K200" s="23">
        <f>(K88*K198+K172*(K13+K15))*(K190+(K192/(K4/K18))+(K194/(K8/K18)))+2*K111*K198/3</f>
        <v>16.161860459353235</v>
      </c>
      <c r="L200" s="5" t="s">
        <v>34</v>
      </c>
    </row>
    <row r="210" spans="10:12" x14ac:dyDescent="0.3">
      <c r="J210" s="4" t="s">
        <v>58</v>
      </c>
      <c r="K210" s="23">
        <f>IF((K18-0.5*(K9+0.5*K8)*(K18/K8))&lt;K4,K18-0.5*(K9+0.5*K8)*(K18/K8),K4)</f>
        <v>27.857142857142847</v>
      </c>
    </row>
    <row r="211" spans="10:12" x14ac:dyDescent="0.3">
      <c r="J211" s="3"/>
    </row>
    <row r="212" spans="10:12" x14ac:dyDescent="0.3">
      <c r="J212" s="3"/>
    </row>
    <row r="213" spans="10:12" x14ac:dyDescent="0.3">
      <c r="J213" s="3"/>
    </row>
    <row r="214" spans="10:12" x14ac:dyDescent="0.3">
      <c r="J214" s="3"/>
    </row>
    <row r="215" spans="10:12" x14ac:dyDescent="0.3">
      <c r="J215" s="3"/>
    </row>
    <row r="216" spans="10:12" x14ac:dyDescent="0.3">
      <c r="J216" s="3"/>
    </row>
    <row r="217" spans="10:12" x14ac:dyDescent="0.3">
      <c r="J217" s="3" t="s">
        <v>60</v>
      </c>
      <c r="K217" s="23">
        <f>0.064*PI()*(K13+K15)*(K210+0.5*K8)*(K8/K18)</f>
        <v>1.6608343722467798</v>
      </c>
    </row>
    <row r="224" spans="10:12" x14ac:dyDescent="0.3">
      <c r="J224" s="6" t="s">
        <v>59</v>
      </c>
      <c r="K224" s="23">
        <f>K217*EXP(-3.18+3.76*EXP(-1*K210/K18)-0.95*(LN((K10-K9)/(K13+K15)))^2)</f>
        <v>0.1043798958808808</v>
      </c>
      <c r="L224" s="5" t="s">
        <v>34</v>
      </c>
    </row>
    <row r="240" spans="10:11" x14ac:dyDescent="0.3">
      <c r="J240" s="4" t="s">
        <v>61</v>
      </c>
      <c r="K240" s="23">
        <f>IF((1/2.6)*(K18-(K9+0.5*K8)*(K18/K8))&lt;K4,(1/2.6)*(K18-(K9+0.5*K8)*(K18/K8)),K4)</f>
        <v>4.9450549450549364</v>
      </c>
    </row>
    <row r="241" spans="10:12" x14ac:dyDescent="0.3">
      <c r="J241" s="3"/>
    </row>
    <row r="242" spans="10:12" x14ac:dyDescent="0.3">
      <c r="J242" s="3"/>
    </row>
    <row r="243" spans="10:12" x14ac:dyDescent="0.3">
      <c r="J243" s="3"/>
    </row>
    <row r="244" spans="10:12" x14ac:dyDescent="0.3">
      <c r="J244" s="3" t="s">
        <v>62</v>
      </c>
      <c r="K244" s="23">
        <f>0.064*K240*(K10-K9)</f>
        <v>0.72791208791208628</v>
      </c>
    </row>
    <row r="248" spans="10:12" x14ac:dyDescent="0.3">
      <c r="J248" s="6" t="s">
        <v>63</v>
      </c>
      <c r="K248" s="23">
        <f>K244*EXP(-0.3+2.04*EXP(-9.01*(K240/K18))-0.16*((K10-K9)/K13)^1.5)*K71</f>
        <v>1.0511025774614167</v>
      </c>
      <c r="L248" s="5" t="s">
        <v>34</v>
      </c>
    </row>
    <row r="261" spans="10:12" x14ac:dyDescent="0.3">
      <c r="J261" s="3" t="s">
        <v>64</v>
      </c>
      <c r="K261" s="23">
        <f>K224*(K13+K15)+(2/3)*(K248+K111)*K4</f>
        <v>37.123599723504576</v>
      </c>
    </row>
    <row r="263" spans="10:12" x14ac:dyDescent="0.3">
      <c r="J263" s="8" t="s">
        <v>65</v>
      </c>
      <c r="K263" s="23">
        <f>K261*1.37*TANH(K13/(K10-K9))</f>
        <v>49.249985473210444</v>
      </c>
      <c r="L263" s="5" t="s">
        <v>34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DE54-4842-43DB-A2E5-2043EEBC932D}">
  <dimension ref="A2:H23"/>
  <sheetViews>
    <sheetView workbookViewId="0">
      <selection activeCell="A14" sqref="A14:XFD14"/>
    </sheetView>
  </sheetViews>
  <sheetFormatPr defaultRowHeight="14.4" x14ac:dyDescent="0.3"/>
  <cols>
    <col min="1" max="1" width="12.6640625" customWidth="1"/>
    <col min="3" max="4" width="9.33203125" bestFit="1" customWidth="1"/>
    <col min="5" max="5" width="9.5546875" bestFit="1" customWidth="1"/>
    <col min="6" max="7" width="9.33203125" bestFit="1" customWidth="1"/>
    <col min="8" max="8" width="9.5546875" bestFit="1" customWidth="1"/>
  </cols>
  <sheetData>
    <row r="2" spans="1:8" x14ac:dyDescent="0.3">
      <c r="A2" s="26" t="s">
        <v>84</v>
      </c>
      <c r="B2" s="1">
        <v>70</v>
      </c>
      <c r="C2" s="5" t="s">
        <v>1</v>
      </c>
    </row>
    <row r="3" spans="1:8" x14ac:dyDescent="0.3">
      <c r="A3" s="26" t="s">
        <v>88</v>
      </c>
      <c r="B3" s="1">
        <v>5</v>
      </c>
      <c r="C3" s="5" t="s">
        <v>1</v>
      </c>
    </row>
    <row r="4" spans="1:8" ht="15" thickBot="1" x14ac:dyDescent="0.35"/>
    <row r="5" spans="1:8" ht="15" thickTop="1" x14ac:dyDescent="0.3">
      <c r="B5" s="36" t="s">
        <v>66</v>
      </c>
      <c r="C5" s="32" t="s">
        <v>70</v>
      </c>
      <c r="D5" s="32"/>
      <c r="E5" s="32"/>
      <c r="F5" s="32" t="s">
        <v>71</v>
      </c>
      <c r="G5" s="32"/>
      <c r="H5" s="33"/>
    </row>
    <row r="6" spans="1:8" ht="15" customHeight="1" x14ac:dyDescent="0.3">
      <c r="B6" s="37"/>
      <c r="C6" s="34" t="s">
        <v>68</v>
      </c>
      <c r="D6" s="34" t="s">
        <v>67</v>
      </c>
      <c r="E6" s="38" t="s">
        <v>69</v>
      </c>
      <c r="F6" s="34" t="s">
        <v>72</v>
      </c>
      <c r="G6" s="34" t="s">
        <v>73</v>
      </c>
      <c r="H6" s="35" t="s">
        <v>69</v>
      </c>
    </row>
    <row r="7" spans="1:8" x14ac:dyDescent="0.3">
      <c r="B7" s="37"/>
      <c r="C7" s="34"/>
      <c r="D7" s="34"/>
      <c r="E7" s="38"/>
      <c r="F7" s="34"/>
      <c r="G7" s="34"/>
      <c r="H7" s="35"/>
    </row>
    <row r="8" spans="1:8" x14ac:dyDescent="0.3">
      <c r="B8" s="37"/>
      <c r="C8" s="34"/>
      <c r="D8" s="34"/>
      <c r="E8" s="38"/>
      <c r="F8" s="34"/>
      <c r="G8" s="34"/>
      <c r="H8" s="35"/>
    </row>
    <row r="9" spans="1:8" x14ac:dyDescent="0.3">
      <c r="B9" s="37"/>
      <c r="C9" s="34"/>
      <c r="D9" s="34"/>
      <c r="E9" s="38"/>
      <c r="F9" s="34"/>
      <c r="G9" s="34"/>
      <c r="H9" s="35"/>
    </row>
    <row r="10" spans="1:8" x14ac:dyDescent="0.3">
      <c r="B10" s="37"/>
      <c r="C10" s="34"/>
      <c r="D10" s="34"/>
      <c r="E10" s="38"/>
      <c r="F10" s="34"/>
      <c r="G10" s="34"/>
      <c r="H10" s="35"/>
    </row>
    <row r="11" spans="1:8" x14ac:dyDescent="0.3">
      <c r="B11" s="14" t="s">
        <v>74</v>
      </c>
      <c r="C11" s="15">
        <f>('Bent 1'!$K$88+'Bent 1'!$K$111)*(B2/2)</f>
        <v>24.474964107975051</v>
      </c>
      <c r="D11" s="15">
        <f>'Bent 1'!$K$172*(B2/2)</f>
        <v>3.2287359301543979</v>
      </c>
      <c r="E11" s="15">
        <f>'Bent 1'!$K$200*(B2/2)</f>
        <v>605.5594518278931</v>
      </c>
      <c r="F11" s="15">
        <f>'Bent 1'!$K$224*(B2/2)</f>
        <v>8.8284830373528429</v>
      </c>
      <c r="G11" s="15">
        <f>('Bent 1'!$K$248+'Bent 1'!$K$111)*(B2/2)</f>
        <v>36.516414569895538</v>
      </c>
      <c r="H11" s="16">
        <f>'Bent 1'!$K$263*(B2/2)</f>
        <v>1508.4334229439328</v>
      </c>
    </row>
    <row r="12" spans="1:8" x14ac:dyDescent="0.3">
      <c r="B12" s="14" t="s">
        <v>75</v>
      </c>
      <c r="C12" s="15">
        <f>('Bent 2'!$K$88+'Bent 2'!$K$111)*(B2)</f>
        <v>29.941582794296895</v>
      </c>
      <c r="D12" s="15">
        <f>'Bent 2'!$K$172*(B2)</f>
        <v>4.4063165660202754</v>
      </c>
      <c r="E12" s="15">
        <f>'Bent 2'!$K$200*(B2)</f>
        <v>744.07377793184412</v>
      </c>
      <c r="F12" s="15">
        <f>'Bent 2'!$K$224*(B2)</f>
        <v>7.1179494912386421</v>
      </c>
      <c r="G12" s="15">
        <f>('Bent 2'!$K$248+'Bent 2'!$K$111)*($B$2)</f>
        <v>39.905763978575877</v>
      </c>
      <c r="H12" s="16">
        <f>'Bent 2'!$K$263*($B$2)</f>
        <v>1651.1640325051858</v>
      </c>
    </row>
    <row r="13" spans="1:8" x14ac:dyDescent="0.3">
      <c r="B13" s="14" t="s">
        <v>76</v>
      </c>
      <c r="C13" s="15">
        <f>('Bent 3'!$K$88+'Bent 3'!$K$111)*($B$2)</f>
        <v>24.681523370608495</v>
      </c>
      <c r="D13" s="15">
        <f>'Bent 3'!$K$172*($B$2/2)</f>
        <v>2.4887882538673423</v>
      </c>
      <c r="E13" s="15">
        <f>'Bent 3'!$K$200*($B$2/2)</f>
        <v>310.59645061616743</v>
      </c>
      <c r="F13" s="15">
        <f>'Bent 3'!$K$224*$B$2</f>
        <v>5.8054487398287087</v>
      </c>
      <c r="G13" s="15">
        <f>('Bent 3'!$K$248+'Bent 3'!$K$111)*$B$2</f>
        <v>29.002393271085662</v>
      </c>
      <c r="H13" s="16">
        <f>'Bent 3'!$K$263*$B$2</f>
        <v>1209.4462069269314</v>
      </c>
    </row>
    <row r="14" spans="1:8" x14ac:dyDescent="0.3">
      <c r="B14" s="14" t="s">
        <v>77</v>
      </c>
      <c r="C14" s="15">
        <f>('Bent 4'!$K$88+'Bent 4'!$K$111)*($B$2)</f>
        <v>193.84468005466152</v>
      </c>
      <c r="D14" s="15">
        <f>'Bent 4'!$K$172*($B$2)</f>
        <v>125.06136098245317</v>
      </c>
      <c r="E14" s="15">
        <f>'Bent 4'!$K$200*($B$2)</f>
        <v>5491.0918148734918</v>
      </c>
      <c r="F14" s="15">
        <f>'Bent 4'!$K$224*$B$2</f>
        <v>254.50934637578524</v>
      </c>
      <c r="G14" s="15">
        <f>('Bent 4'!$K$248+'Bent 4'!$K$111)*$B$2</f>
        <v>188.67939878852445</v>
      </c>
      <c r="H14" s="16">
        <f>'Bent 4'!$K$263*$B$2</f>
        <v>7668.4718339546534</v>
      </c>
    </row>
    <row r="15" spans="1:8" x14ac:dyDescent="0.3">
      <c r="B15" s="28" t="s">
        <v>78</v>
      </c>
      <c r="C15" s="29">
        <f>('Bent 5'!$K$88+'Bent 5'!$K$111)*($B$2)</f>
        <v>121.10584160093582</v>
      </c>
      <c r="D15" s="29">
        <f>'Bent 5'!$K$172*($B$2)</f>
        <v>31.373668318916547</v>
      </c>
      <c r="E15" s="29">
        <f>'Bent 5'!$K$200*($B$2)</f>
        <v>3200.1862981650734</v>
      </c>
      <c r="F15" s="29">
        <f>'Bent 5'!$K$224*$B$2</f>
        <v>52.128704210265553</v>
      </c>
      <c r="G15" s="29">
        <f>('Bent 5'!$K$248+'Bent 5'!$K$111)*$B$2</f>
        <v>75.962435856454576</v>
      </c>
      <c r="H15" s="30">
        <f>'Bent 5'!$K$263*$B$2</f>
        <v>3455.3013792445627</v>
      </c>
    </row>
    <row r="16" spans="1:8" x14ac:dyDescent="0.3">
      <c r="B16" s="14" t="s">
        <v>79</v>
      </c>
      <c r="C16" s="15">
        <f>('Bent 6'!$K$88+'Bent 6'!$K$111)*($B$2)</f>
        <v>83.708165291074565</v>
      </c>
      <c r="D16" s="15">
        <f>'Bent 6'!$K$172*($B$2)</f>
        <v>18.726658026827909</v>
      </c>
      <c r="E16" s="15">
        <f>'Bent 6'!$K$200*($B$2)</f>
        <v>2194.2550690894655</v>
      </c>
      <c r="F16" s="15">
        <f>'Bent 6'!$K$224*$B$2</f>
        <v>18.055280679905806</v>
      </c>
      <c r="G16" s="15">
        <f>('Bent 6'!$K$248+'Bent 6'!$K$111)*$B$2</f>
        <v>-125.21980457810062</v>
      </c>
      <c r="H16" s="16">
        <f>'Bent 6'!$K$263*$B$2</f>
        <v>-4717.3606842140816</v>
      </c>
    </row>
    <row r="17" spans="2:8" x14ac:dyDescent="0.3">
      <c r="B17" s="14" t="s">
        <v>80</v>
      </c>
      <c r="C17" s="15">
        <f>('Bent 7'!$K$88+'Bent 7'!$K$111)*($B$2)</f>
        <v>57.016512534473094</v>
      </c>
      <c r="D17" s="15">
        <f>'Bent 7'!$K$172*($B$2)</f>
        <v>6.4502701278411818</v>
      </c>
      <c r="E17" s="15">
        <f>'Bent 7'!$K$200*($B$2)</f>
        <v>1453.4724663669115</v>
      </c>
      <c r="F17" s="15">
        <f>'Bent 7'!$K$224*$B$2</f>
        <v>3.565140741701232</v>
      </c>
      <c r="G17" s="15">
        <f>('Bent 7'!$K$248+'Bent 7'!$K$111)*$B$2</f>
        <v>-378.38990589755389</v>
      </c>
      <c r="H17" s="16">
        <f>'Bent 7'!$K$263*$B$2</f>
        <v>-14904.50550351612</v>
      </c>
    </row>
    <row r="18" spans="2:8" x14ac:dyDescent="0.3">
      <c r="B18" s="14" t="s">
        <v>81</v>
      </c>
      <c r="C18" s="15">
        <f>('Bent 8'!$K$88+'Bent 8'!$K$111)*($B$2)</f>
        <v>28.597800599016526</v>
      </c>
      <c r="D18" s="15">
        <f>'Bent 8'!$K$172*($B$2)</f>
        <v>-12.745254487613341</v>
      </c>
      <c r="E18" s="15">
        <f>'Bent 8'!$K$200*($B$2)</f>
        <v>624.85324954460225</v>
      </c>
      <c r="F18" s="15">
        <f>'Bent 8'!$K$224*$B$2</f>
        <v>7.4824899048168752E-3</v>
      </c>
      <c r="G18" s="15">
        <f>('Bent 8'!$K$248+'Bent 8'!$K$111)*$B$2</f>
        <v>-468.66368498816513</v>
      </c>
      <c r="H18" s="16">
        <f>'Bent 8'!$K$263*$B$2</f>
        <v>-18512.91209233136</v>
      </c>
    </row>
    <row r="19" spans="2:8" x14ac:dyDescent="0.3">
      <c r="B19" s="14" t="s">
        <v>82</v>
      </c>
      <c r="C19" s="15">
        <f>('Bent 27'!$K$88+'Bent 27'!$K$111)*($B$2)</f>
        <v>32.893951705877107</v>
      </c>
      <c r="D19" s="15">
        <f>'Bent 27'!$K$172*($B$2)</f>
        <v>0.81492061529044857</v>
      </c>
      <c r="E19" s="15">
        <f>'Bent 27'!$K$200*($B$2)</f>
        <v>773.72966045474891</v>
      </c>
      <c r="F19" s="15">
        <f>'Bent 27'!$K$224*$B$2</f>
        <v>2.0329399540016206</v>
      </c>
      <c r="G19" s="15">
        <f>('Bent 27'!$K$248+'Bent 27'!$K$111)*$B$2</f>
        <v>80.138714999740671</v>
      </c>
      <c r="H19" s="16">
        <f>'Bent 27'!$K$263*$B$2</f>
        <v>3186.2657383888359</v>
      </c>
    </row>
    <row r="20" spans="2:8" ht="15" thickBot="1" x14ac:dyDescent="0.35">
      <c r="B20" s="17" t="s">
        <v>83</v>
      </c>
      <c r="C20" s="18">
        <f>('Bent 28'!$K$88+'Bent 28'!$K$111)*($B$2/2)</f>
        <v>24.143202753983086</v>
      </c>
      <c r="D20" s="18">
        <f>'Bent 28'!$K$172*($B$2/2)</f>
        <v>0.29796676634784808</v>
      </c>
      <c r="E20" s="18">
        <f>'Bent 28'!$K$200*($B$2/2)</f>
        <v>565.66511607736322</v>
      </c>
      <c r="F20" s="18">
        <f>'Bent 28'!$K$224*($B$2/2)</f>
        <v>3.653296355830828</v>
      </c>
      <c r="G20" s="18">
        <f>('Bent 28'!$K$248+'Bent 28'!$K$111)*($B$2/2)</f>
        <v>44.018021805331415</v>
      </c>
      <c r="H20" s="19">
        <f>'Bent 28'!$K$263*($B$2/2)</f>
        <v>1723.7494915623656</v>
      </c>
    </row>
    <row r="21" spans="2:8" ht="15" thickTop="1" x14ac:dyDescent="0.3"/>
    <row r="23" spans="2:8" x14ac:dyDescent="0.3">
      <c r="B23" s="27"/>
      <c r="C23" s="31"/>
      <c r="D23" s="31"/>
      <c r="E23" s="31"/>
      <c r="F23" s="31"/>
      <c r="G23" s="31"/>
      <c r="H23" s="31"/>
    </row>
  </sheetData>
  <mergeCells count="9">
    <mergeCell ref="F5:H5"/>
    <mergeCell ref="F6:F10"/>
    <mergeCell ref="G6:G10"/>
    <mergeCell ref="H6:H10"/>
    <mergeCell ref="B5:B10"/>
    <mergeCell ref="C6:C10"/>
    <mergeCell ref="D6:D10"/>
    <mergeCell ref="E6:E10"/>
    <mergeCell ref="C5:E5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Bent 1</vt:lpstr>
      <vt:lpstr>Bent 2</vt:lpstr>
      <vt:lpstr>Bent 3</vt:lpstr>
      <vt:lpstr>Bent 4</vt:lpstr>
      <vt:lpstr>Bent 5</vt:lpstr>
      <vt:lpstr>Bent 6</vt:lpstr>
      <vt:lpstr>Bent 7</vt:lpstr>
      <vt:lpstr>Bent 8</vt:lpstr>
      <vt:lpstr>Bent 27</vt:lpstr>
      <vt:lpstr>Bent 28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Brandon</dc:creator>
  <cp:lastModifiedBy>Liu, Xiaohai</cp:lastModifiedBy>
  <dcterms:created xsi:type="dcterms:W3CDTF">2022-02-01T17:02:17Z</dcterms:created>
  <dcterms:modified xsi:type="dcterms:W3CDTF">2022-03-08T15:20:06Z</dcterms:modified>
</cp:coreProperties>
</file>