
<file path=[Content_Types].xml><?xml version="1.0" encoding="utf-8"?>
<Types xmlns="http://schemas.openxmlformats.org/package/2006/content-types">
  <Default Extension="bin" ContentType="application/vnd.openxmlformats-officedocument.spreadsheetml.printerSettings"/>
  <Default Extension="emf" ContentType="image/x-emf"/>
  <Default Extension="jpeg" ContentType="image/jpeg"/>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drawings/drawing2.xml" ContentType="application/vnd.openxmlformats-officedocument.drawing+xml"/>
  <Override PartName="/xl/embeddings/oleObject1.bin" ContentType="application/vnd.openxmlformats-officedocument.oleObject"/>
  <Override PartName="/xl/drawings/drawing3.xml" ContentType="application/vnd.openxmlformats-officedocument.drawing+xml"/>
  <Override PartName="/xl/drawings/drawing4.xml" ContentType="application/vnd.openxmlformats-officedocument.drawing+xml"/>
  <Override PartName="/xl/embeddings/oleObject2.bin" ContentType="application/vnd.openxmlformats-officedocument.oleObject"/>
  <Override PartName="/xl/comments1.xml" ContentType="application/vnd.openxmlformats-officedocument.spreadsheetml.comments+xml"/>
  <Override PartName="/xl/threadedComments/threadedComment1.xml" ContentType="application/vnd.ms-excel.threadedcomments+xml"/>
  <Override PartName="/xl/drawings/drawing5.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comments2.xml" ContentType="application/vnd.openxmlformats-officedocument.spreadsheetml.comments+xml"/>
  <Override PartName="/xl/threadedComments/threadedComment2.xml" ContentType="application/vnd.ms-excel.threadedcomments+xml"/>
  <Override PartName="/xl/drawings/drawing9.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xl/persons/person.xml" ContentType="application/vnd.ms-excel.person+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127"/>
  <workbookPr defaultThemeVersion="166925"/>
  <mc:AlternateContent xmlns:mc="http://schemas.openxmlformats.org/markup-compatibility/2006">
    <mc:Choice Requires="x15">
      <x15ac:absPath xmlns:x15ac="http://schemas.microsoft.com/office/spreadsheetml/2010/11/ac" url="C:\Users\arslaan.khalid\Desktop\Projects\Camp_Lejeune\Data\Analysis\Scour\"/>
    </mc:Choice>
  </mc:AlternateContent>
  <xr:revisionPtr revIDLastSave="0" documentId="13_ncr:1_{7B884D33-1A32-4CB5-9438-E0A75CB9BA18}" xr6:coauthVersionLast="45" xr6:coauthVersionMax="45" xr10:uidLastSave="{00000000-0000-0000-0000-000000000000}"/>
  <bookViews>
    <workbookView xWindow="6285" yWindow="780" windowWidth="16515" windowHeight="14160" tabRatio="830" activeTab="6" xr2:uid="{835F2B62-7D40-4C91-9EC1-8DB306C3A939}"/>
  </bookViews>
  <sheets>
    <sheet name="COVER" sheetId="3" r:id="rId1"/>
    <sheet name="General Scour" sheetId="16" r:id="rId2"/>
    <sheet name="General" sheetId="17" r:id="rId3"/>
    <sheet name="HEC-18 Bridge Scour" sheetId="1" r:id="rId4"/>
    <sheet name="Contraction" sheetId="5" r:id="rId5"/>
    <sheet name="Abutment" sheetId="6" r:id="rId6"/>
    <sheet name="Pier" sheetId="2" r:id="rId7"/>
    <sheet name="NCHRP Abutment Scour" sheetId="12" r:id="rId8"/>
    <sheet name="Abutment NCHRP " sheetId="9" r:id="rId9"/>
    <sheet name="Wave Induced Scour" sheetId="14" r:id="rId10"/>
    <sheet name="Wave Induced" sheetId="13" r:id="rId11"/>
  </sheets>
  <definedNames>
    <definedName name="ExternalData_1" localSheetId="1" hidden="1">'General Scour'!#REF!</definedName>
    <definedName name="ExternalData_1" localSheetId="3" hidden="1">'HEC-18 Bridge Scour'!#REF!</definedName>
    <definedName name="ExternalData_1" localSheetId="7" hidden="1">'NCHRP Abutment Scour'!#REF!</definedName>
    <definedName name="ExternalData_1" localSheetId="6" hidden="1">Pier!#REF!</definedName>
    <definedName name="ExternalData_1" localSheetId="9" hidden="1">'Wave Induced Scour'!#REF!</definedName>
    <definedName name="ExternalData_2" localSheetId="1" hidden="1">'General Scour'!#REF!</definedName>
    <definedName name="ExternalData_2" localSheetId="3" hidden="1">'HEC-18 Bridge Scour'!#REF!</definedName>
    <definedName name="ExternalData_2" localSheetId="7" hidden="1">'NCHRP Abutment Scour'!#REF!</definedName>
    <definedName name="ExternalData_2" localSheetId="6" hidden="1">Pier!#REF!</definedName>
    <definedName name="ExternalData_2" localSheetId="9" hidden="1">'Wave Induced Scour'!#REF!</definedName>
    <definedName name="FigureLookupLAB">INDEX('Abutment NCHRP '!$Q$228:$Q$232,MATCH('NCHRP Abutment Scour'!$Z$26,'Abutment NCHRP '!$P$228:$P$232,0))</definedName>
    <definedName name="FigureLookupRAB">INDEX('Abutment NCHRP '!$Q$228:$Q$232,MATCH('NCHRP Abutment Scour'!$Z$27,'Abutment NCHRP '!$P$228:$P$232,0))</definedName>
    <definedName name="_xlnm.Print_Area" localSheetId="1">'General Scour'!$A$1:$J$52</definedName>
    <definedName name="_xlnm.Print_Area" localSheetId="3">'HEC-18 Bridge Scour'!$A$1:$K$94</definedName>
    <definedName name="_xlnm.Print_Area" localSheetId="7">'NCHRP Abutment Scour'!$A$1:$AG$62</definedName>
    <definedName name="_xlnm.Print_Area" localSheetId="9">'Wave Induced Scour'!$A$1:$J$60</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E91" i="2" l="1"/>
  <c r="C186" i="17" l="1"/>
  <c r="C33" i="17" l="1"/>
  <c r="C53" i="17"/>
  <c r="C51" i="17"/>
  <c r="C109" i="17"/>
  <c r="C111" i="17" s="1"/>
  <c r="B25" i="16" l="1"/>
  <c r="C163" i="17" l="1"/>
  <c r="C162" i="17"/>
  <c r="C161" i="17"/>
  <c r="C144" i="17"/>
  <c r="C143" i="17"/>
  <c r="C142" i="17"/>
  <c r="C31" i="17"/>
  <c r="C30" i="17"/>
  <c r="C32" i="17"/>
  <c r="C123" i="17"/>
  <c r="C124" i="17"/>
  <c r="C108" i="17"/>
  <c r="C107" i="17"/>
  <c r="C88" i="17"/>
  <c r="C89" i="17"/>
  <c r="C90" i="17" s="1"/>
  <c r="C92" i="17" s="1"/>
  <c r="C87" i="17"/>
  <c r="C164" i="17" l="1"/>
  <c r="C166" i="17" s="1"/>
  <c r="C189" i="17" s="1"/>
  <c r="C42" i="16" s="1"/>
  <c r="C145" i="17"/>
  <c r="C147" i="17" s="1"/>
  <c r="C146" i="17"/>
  <c r="C148" i="17" s="1"/>
  <c r="C35" i="17"/>
  <c r="C182" i="17" s="1"/>
  <c r="C28" i="16" s="1"/>
  <c r="C125" i="17"/>
  <c r="C127" i="17" s="1"/>
  <c r="C187" i="17" s="1"/>
  <c r="C38" i="16" s="1"/>
  <c r="C36" i="16"/>
  <c r="C91" i="17"/>
  <c r="C94" i="17" s="1"/>
  <c r="C150" i="17" l="1"/>
  <c r="C188" i="17" s="1"/>
  <c r="C40" i="16" s="1"/>
  <c r="C10" i="17" l="1"/>
  <c r="C14" i="17" s="1"/>
  <c r="C96" i="17" s="1"/>
  <c r="C185" i="17" s="1"/>
  <c r="C34" i="16" s="1"/>
  <c r="C72" i="17"/>
  <c r="C71" i="17"/>
  <c r="C73" i="17" s="1"/>
  <c r="C70" i="17"/>
  <c r="C55" i="17"/>
  <c r="C54" i="17"/>
  <c r="C57" i="17" s="1"/>
  <c r="C52" i="17"/>
  <c r="C50" i="17"/>
  <c r="C58" i="17" a="1"/>
  <c r="C58" i="17" s="1"/>
  <c r="B46" i="16"/>
  <c r="B45" i="16"/>
  <c r="B26" i="16"/>
  <c r="C12" i="17" l="1"/>
  <c r="C13" i="17"/>
  <c r="C75" i="17"/>
  <c r="C56" i="17"/>
  <c r="C60" i="17" s="1"/>
  <c r="C77" i="17" l="1"/>
  <c r="C184" i="17" s="1"/>
  <c r="C32" i="16" s="1"/>
  <c r="C62" i="17"/>
  <c r="C183" i="17" s="1"/>
  <c r="C30" i="16" s="1"/>
  <c r="C38" i="2" a="1"/>
  <c r="C38" i="2" s="1"/>
  <c r="C39" i="2" s="1"/>
  <c r="C8" i="14" l="1"/>
  <c r="C56" i="1" l="1"/>
  <c r="C54" i="1"/>
  <c r="C48" i="1"/>
  <c r="C108" i="2" s="1"/>
  <c r="C41" i="1"/>
  <c r="C39" i="1"/>
  <c r="C32" i="1"/>
  <c r="C30" i="1"/>
  <c r="C9" i="14" l="1"/>
  <c r="D21" i="5"/>
  <c r="C94" i="5" s="1"/>
  <c r="C140" i="9" l="1"/>
  <c r="C105" i="2"/>
  <c r="C104" i="2"/>
  <c r="C16" i="5"/>
  <c r="C31" i="14" l="1"/>
  <c r="C47" i="14"/>
  <c r="C134" i="13"/>
  <c r="C133" i="13"/>
  <c r="C91" i="13"/>
  <c r="C89" i="13"/>
  <c r="C90" i="13"/>
  <c r="C50" i="13"/>
  <c r="C49" i="13"/>
  <c r="C49" i="14" l="1"/>
  <c r="C52" i="13"/>
  <c r="C40" i="14" s="1"/>
  <c r="C39" i="14"/>
  <c r="C42" i="14"/>
  <c r="C135" i="13"/>
  <c r="C142" i="13" s="1"/>
  <c r="C95" i="13"/>
  <c r="C96" i="13"/>
  <c r="C94" i="13"/>
  <c r="C88" i="13"/>
  <c r="C87" i="13"/>
  <c r="C86" i="13"/>
  <c r="C85" i="13"/>
  <c r="C93" i="13"/>
  <c r="C92" i="13"/>
  <c r="C48" i="13"/>
  <c r="B53" i="14"/>
  <c r="B52" i="14"/>
  <c r="B37" i="14"/>
  <c r="B36" i="14"/>
  <c r="C137" i="13" l="1"/>
  <c r="C141" i="13" s="1"/>
  <c r="C147" i="13"/>
  <c r="C146" i="13"/>
  <c r="C48" i="14"/>
  <c r="C105" i="13"/>
  <c r="C45" i="14" s="1"/>
  <c r="C98" i="13"/>
  <c r="C101" i="13" s="1"/>
  <c r="B56" i="12"/>
  <c r="B55" i="12"/>
  <c r="B47" i="12"/>
  <c r="B48" i="12"/>
  <c r="B87" i="1"/>
  <c r="B86" i="1"/>
  <c r="B66" i="1"/>
  <c r="B65" i="1"/>
  <c r="C102" i="13" l="1"/>
  <c r="C43" i="14"/>
  <c r="C99" i="13"/>
  <c r="C119" i="9"/>
  <c r="C129" i="9"/>
  <c r="C21" i="12"/>
  <c r="C153" i="9"/>
  <c r="C143" i="9"/>
  <c r="C142" i="9"/>
  <c r="C152" i="9"/>
  <c r="C150" i="9" a="1"/>
  <c r="C150" i="9" s="1"/>
  <c r="C128" i="9"/>
  <c r="C127" i="9"/>
  <c r="C118" i="9"/>
  <c r="C117" i="9"/>
  <c r="C106" i="9"/>
  <c r="C105" i="9"/>
  <c r="C97" i="9"/>
  <c r="C96" i="9"/>
  <c r="C82" i="9"/>
  <c r="C81" i="9"/>
  <c r="C80" i="9"/>
  <c r="C73" i="9"/>
  <c r="C72" i="9"/>
  <c r="C71" i="9"/>
  <c r="C63" i="9"/>
  <c r="C62" i="9"/>
  <c r="C61" i="9"/>
  <c r="C56" i="9"/>
  <c r="C55" i="9"/>
  <c r="C54" i="9"/>
  <c r="C39" i="12"/>
  <c r="C104" i="13" l="1"/>
  <c r="C44" i="14" s="1"/>
  <c r="C75" i="9"/>
  <c r="C64" i="9"/>
  <c r="C31" i="12" s="1"/>
  <c r="C57" i="9"/>
  <c r="C58" i="9" s="1"/>
  <c r="C132" i="9"/>
  <c r="C122" i="9"/>
  <c r="C107" i="9"/>
  <c r="C109" i="9" s="1"/>
  <c r="C98" i="9"/>
  <c r="C114" i="2"/>
  <c r="C103" i="2"/>
  <c r="C106" i="2"/>
  <c r="C102" i="2"/>
  <c r="E70" i="2"/>
  <c r="C79" i="2"/>
  <c r="C90" i="2" s="1"/>
  <c r="C109" i="2" l="1"/>
  <c r="C91" i="2"/>
  <c r="C110" i="2" s="1"/>
  <c r="C141" i="9"/>
  <c r="Z26" i="12" s="1"/>
  <c r="E22" i="12" s="1"/>
  <c r="C65" i="9"/>
  <c r="C151" i="9" s="1"/>
  <c r="C13" i="12"/>
  <c r="C14" i="12"/>
  <c r="C100" i="9"/>
  <c r="C144" i="9" s="1"/>
  <c r="C113" i="2"/>
  <c r="C76" i="2"/>
  <c r="E71" i="2"/>
  <c r="D32" i="2"/>
  <c r="E69" i="2"/>
  <c r="C84" i="2" s="1"/>
  <c r="C78" i="2"/>
  <c r="C77" i="2"/>
  <c r="C81" i="2" l="1"/>
  <c r="C82" i="2" s="1"/>
  <c r="C85" i="2"/>
  <c r="C88" i="2" s="1"/>
  <c r="B21" i="12"/>
  <c r="C32" i="12"/>
  <c r="C154" i="9"/>
  <c r="C156" i="9" s="1"/>
  <c r="C146" i="9"/>
  <c r="C23" i="12"/>
  <c r="D24" i="12"/>
  <c r="B18" i="12"/>
  <c r="B17" i="12"/>
  <c r="B16" i="12"/>
  <c r="B15" i="12"/>
  <c r="B19" i="12"/>
  <c r="E16" i="12"/>
  <c r="E19" i="12"/>
  <c r="E15" i="12"/>
  <c r="E24" i="12"/>
  <c r="E23" i="12"/>
  <c r="B24" i="12"/>
  <c r="B23" i="12"/>
  <c r="D23" i="12"/>
  <c r="D16" i="12"/>
  <c r="D17" i="12"/>
  <c r="D18" i="12"/>
  <c r="D15" i="12"/>
  <c r="E18" i="12"/>
  <c r="D19" i="12"/>
  <c r="E17" i="12"/>
  <c r="D74" i="2"/>
  <c r="D73" i="2"/>
  <c r="C37" i="2"/>
  <c r="C36" i="2"/>
  <c r="C35" i="2"/>
  <c r="C34" i="2"/>
  <c r="C111" i="2"/>
  <c r="B34" i="12" l="1"/>
  <c r="E37" i="12"/>
  <c r="E34" i="12"/>
  <c r="B37" i="12"/>
  <c r="B35" i="12"/>
  <c r="B33" i="12"/>
  <c r="E33" i="12"/>
  <c r="E36" i="12"/>
  <c r="B36" i="12"/>
  <c r="E35" i="12"/>
  <c r="C117" i="2"/>
  <c r="C80" i="1" s="1"/>
  <c r="C116" i="2"/>
  <c r="C79" i="1" s="1"/>
  <c r="D37" i="12"/>
  <c r="D33" i="12"/>
  <c r="E41" i="12"/>
  <c r="D42" i="12"/>
  <c r="D36" i="12"/>
  <c r="D34" i="12"/>
  <c r="B41" i="12"/>
  <c r="D41" i="12"/>
  <c r="D35" i="12"/>
  <c r="B42" i="12"/>
  <c r="E42" i="12"/>
  <c r="B39" i="12"/>
  <c r="Z27" i="12"/>
  <c r="E40" i="12" s="1"/>
  <c r="C41" i="12"/>
  <c r="C157" i="9"/>
  <c r="C52" i="12" s="1"/>
  <c r="C42" i="12"/>
  <c r="C147" i="9"/>
  <c r="C50" i="12" s="1"/>
  <c r="C24" i="12"/>
  <c r="C87" i="2"/>
  <c r="E90" i="2" s="1"/>
  <c r="C41" i="2"/>
  <c r="C107" i="2" s="1"/>
  <c r="C84" i="6"/>
  <c r="C68" i="6"/>
  <c r="C83" i="6"/>
  <c r="C67" i="6"/>
  <c r="C84" i="9"/>
  <c r="C104" i="6"/>
  <c r="C98" i="6"/>
  <c r="C81" i="6"/>
  <c r="C82" i="6"/>
  <c r="C80" i="6"/>
  <c r="C79" i="6"/>
  <c r="C66" i="6"/>
  <c r="C65" i="6"/>
  <c r="C64" i="6"/>
  <c r="C63" i="6"/>
  <c r="C120" i="6" l="1"/>
  <c r="C121" i="6" s="1"/>
  <c r="C73" i="1" s="1"/>
  <c r="C127" i="6"/>
  <c r="C128" i="6" s="1"/>
  <c r="C76" i="1" s="1"/>
  <c r="C88" i="6"/>
  <c r="C87" i="6"/>
  <c r="C71" i="6"/>
  <c r="C119" i="2" l="1"/>
  <c r="C82" i="1" s="1"/>
  <c r="C120" i="2"/>
  <c r="C83" i="1" s="1"/>
  <c r="D121" i="6"/>
  <c r="D128" i="6"/>
  <c r="C73" i="6"/>
  <c r="C75" i="6" s="1"/>
  <c r="C89" i="6"/>
  <c r="C91" i="6" s="1"/>
  <c r="C106" i="6" l="1"/>
  <c r="C130" i="6" s="1"/>
  <c r="C77" i="1" s="1"/>
  <c r="C100" i="6"/>
  <c r="C123" i="6" s="1"/>
  <c r="C74" i="1" s="1"/>
  <c r="C71" i="5" l="1"/>
  <c r="C72" i="5"/>
  <c r="C74" i="5"/>
  <c r="C75" i="5"/>
  <c r="C73" i="5"/>
  <c r="C70" i="5"/>
  <c r="C66" i="5"/>
  <c r="C67" i="5"/>
  <c r="C65" i="5"/>
  <c r="C68" i="5"/>
  <c r="C69" i="5" s="1"/>
  <c r="C34" i="5"/>
  <c r="C37" i="5" s="1"/>
  <c r="C33" i="5"/>
  <c r="C32" i="5"/>
  <c r="C31" i="5"/>
  <c r="C30" i="5"/>
  <c r="C29" i="5"/>
  <c r="C28" i="5"/>
  <c r="C27" i="5"/>
  <c r="C10" i="5"/>
  <c r="C36" i="5" l="1"/>
  <c r="C38" i="5" s="1"/>
  <c r="C39" i="5" s="1"/>
  <c r="C40" i="5" s="1"/>
  <c r="C42" i="5" s="1"/>
  <c r="C78" i="5"/>
  <c r="C82" i="5" s="1"/>
  <c r="C80" i="5"/>
  <c r="C79" i="5"/>
  <c r="C83" i="5" s="1"/>
  <c r="C11" i="5"/>
  <c r="C84" i="5" l="1"/>
  <c r="C97" i="5" s="1"/>
  <c r="C96" i="5"/>
  <c r="C12" i="5"/>
  <c r="C14" i="5" s="1"/>
  <c r="E97" i="5" l="1"/>
  <c r="C71" i="1"/>
  <c r="D20" i="5"/>
  <c r="C93" i="5" s="1"/>
  <c r="C95" i="5" s="1"/>
  <c r="C69" i="1" s="1"/>
  <c r="C18" i="5"/>
  <c r="E96" i="5"/>
  <c r="C70" i="1"/>
  <c r="E95" i="5" l="1"/>
  <c r="C68" i="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tc={EFC8CCD3-685A-4567-802C-111CB23B3B75}</author>
    <author>tc={C75DECC0-955F-4974-995A-EE562955197C}</author>
    <author>tc={AA62078E-CCC2-40AD-B884-B10EFC6901E8}</author>
    <author>tc={52D826E8-0F59-49D4-B0C0-84840532EEE4}</author>
    <author>tc={B7BAE823-26A9-4564-9601-F98745CD4B96}</author>
    <author>tc={7BBE1B6D-2FF3-4993-B5CA-97653B43749B}</author>
    <author>tc={12C4455F-DBAB-43D3-A779-B78A3FF91C7C}</author>
    <author>tc={BCB6710E-1798-4A91-9DFA-583D20FB0B2B}</author>
  </authors>
  <commentList>
    <comment ref="C15" authorId="0" shapeId="0" xr:uid="{EFC8CCD3-685A-4567-802C-111CB23B3B75}">
      <text>
        <t>[Threaded comment]
Your version of Excel allows you to read this threaded comment; however, any edits to it will get removed if the file is opened in a newer version of Excel. Learn more: https://go.microsoft.com/fwlink/?linkid=870924
Comment:
    This should be distance from face of abutment to channel bank.</t>
      </text>
    </comment>
    <comment ref="C16" authorId="1" shapeId="0" xr:uid="{C75DECC0-955F-4974-995A-EE562955197C}">
      <text>
        <t>[Threaded comment]
Your version of Excel allows you to read this threaded comment; however, any edits to it will get removed if the file is opened in a newer version of Excel. Learn more: https://go.microsoft.com/fwlink/?linkid=870924
Comment:
    This should be distance from face of abutment to channel bank.</t>
      </text>
    </comment>
    <comment ref="C18" authorId="2" shapeId="0" xr:uid="{AA62078E-CCC2-40AD-B884-B10EFC6901E8}">
      <text>
        <t>[Threaded comment]
Your version of Excel allows you to read this threaded comment; however, any edits to it will get removed if the file is opened in a newer version of Excel. Learn more: https://go.microsoft.com/fwlink/?linkid=870924
Comment:
    Depth values shoul dbe positive.</t>
      </text>
    </comment>
    <comment ref="C27" authorId="3" shapeId="0" xr:uid="{52D826E8-0F59-49D4-B0C0-84840532EEE4}">
      <text>
        <t>[Threaded comment]
Your version of Excel allows you to read this threaded comment; however, any edits to it will get removed if the file is opened in a newer version of Excel. Learn more: https://go.microsoft.com/fwlink/?linkid=870924
Comment:
    L' should not be longer than L and is often shorter. Refer to excerpted Figure 8.4 and text at top of Abutment worksheet.</t>
      </text>
    </comment>
    <comment ref="C31" authorId="4" shapeId="0" xr:uid="{B7BAE823-26A9-4564-9601-F98745CD4B96}">
      <text>
        <t>[Threaded comment]
Your version of Excel allows you to read this threaded comment; however, any edits to it will get removed if the file is opened in a newer version of Excel. Learn more: https://go.microsoft.com/fwlink/?linkid=870924
Comment:
    Skew angle should be 90 degrees if perpendicular to flow. See excerpted Section 8.4 and Figure 8.5 at top of Abutment worksheet.</t>
      </text>
    </comment>
    <comment ref="C36" authorId="5" shapeId="0" xr:uid="{7BBE1B6D-2FF3-4993-B5CA-97653B43749B}">
      <text>
        <t>[Threaded comment]
Your version of Excel allows you to read this threaded comment; however, any edits to it will get removed if the file is opened in a newer version of Excel. Learn more: https://go.microsoft.com/fwlink/?linkid=870924
Comment:
    L' is often shorter. Refer to excerpted Figure 8.4 and text at top of Abutment worksheet.</t>
      </text>
    </comment>
    <comment ref="C40" authorId="6" shapeId="0" xr:uid="{12C4455F-DBAB-43D3-A779-B78A3FF91C7C}">
      <text>
        <t>[Threaded comment]
Your version of Excel allows you to read this threaded comment; however, any edits to it will get removed if the file is opened in a newer version of Excel. Learn more: https://go.microsoft.com/fwlink/?linkid=870924
Comment:
    Skew angle should be 90 degrees if perpendicular to flow. See excerpted Section 8.4 and Figure 8.5 at top of Abutment worksheet.</t>
      </text>
    </comment>
    <comment ref="C49" authorId="7" shapeId="0" xr:uid="{BCB6710E-1798-4A91-9DFA-583D20FB0B2B}">
      <text>
        <t>[Threaded comment]
Your version of Excel allows you to read this threaded comment; however, any edits to it will get removed if the file is opened in a newer version of Excel. Learn more: https://go.microsoft.com/fwlink/?linkid=870924
Comment:
    I have added the two 24" piles. See Numbr and spacing below. They are guesses. Since these ar individual piles you wouldn't use the 50' length.</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tc={2BA1377F-04E9-423D-9B65-950238BBBA3F}</author>
    <author>tc={1D9234C0-6AA2-4999-8382-6DA1818DEF9C}</author>
    <author>tc={B967BB9A-3C91-435E-A990-E960556001C5}</author>
    <author>tc={BEEBF584-B298-4DF5-B72A-3E5DFA7EABF7}</author>
    <author>tc={E2F65249-91EE-42A4-801D-68C8F058985F}</author>
    <author>tc={DD0272BB-54E4-429B-BD7F-D3119B42CC6F}</author>
  </authors>
  <commentList>
    <comment ref="C16" authorId="0" shapeId="0" xr:uid="{2BA1377F-04E9-423D-9B65-950238BBBA3F}">
      <text>
        <t>[Threaded comment]
Your version of Excel allows you to read this threaded comment; however, any edits to it will get removed if the file is opened in a newer version of Excel. Learn more: https://go.microsoft.com/fwlink/?linkid=870924
Comment:
    Note this should be unit discharge in the CHANNEL, bank to bank (using eq. 8.5)</t>
      </text>
    </comment>
    <comment ref="C18" authorId="1" shapeId="0" xr:uid="{1D9234C0-6AA2-4999-8382-6DA1818DEF9C}">
      <text>
        <t>[Threaded comment]
Your version of Excel allows you to read this threaded comment; however, any edits to it will get removed if the file is opened in a newer version of Excel. Learn more: https://go.microsoft.com/fwlink/?linkid=870924
Comment:
    Note this should be unit discharge in the CHANNEL, bank to bank (using eq. 8.5). Odd that channel discharge is lower at bridge than upstream - not so odd considering bridge was not actually included in the model.</t>
      </text>
    </comment>
    <comment ref="C33" authorId="2" shapeId="0" xr:uid="{B967BB9A-3C91-435E-A990-E960556001C5}">
      <text>
        <t>[Threaded comment]
Your version of Excel allows you to read this threaded comment; however, any edits to it will get removed if the file is opened in a newer version of Excel. Learn more: https://go.microsoft.com/fwlink/?linkid=870924
Comment:
    Should be depth in FLOODPLAIN.</t>
      </text>
    </comment>
    <comment ref="C34" authorId="3" shapeId="0" xr:uid="{BEEBF584-B298-4DF5-B72A-3E5DFA7EABF7}">
      <text>
        <t>[Threaded comment]
Your version of Excel allows you to read this threaded comment; however, any edits to it will get removed if the file is opened in a newer version of Excel. Learn more: https://go.microsoft.com/fwlink/?linkid=870924
Comment:
    Note this should be unit discharge in the FLOODPLAIN, backward of channel (using eq. 8.6).</t>
      </text>
    </comment>
    <comment ref="C35" authorId="4" shapeId="0" xr:uid="{E2F65249-91EE-42A4-801D-68C8F058985F}">
      <text>
        <t>[Threaded comment]
Your version of Excel allows you to read this threaded comment; however, any edits to it will get removed if the file is opened in a newer version of Excel. Learn more: https://go.microsoft.com/fwlink/?linkid=870924
Comment:
    Should be depth in FLOODPLAIN.</t>
      </text>
    </comment>
    <comment ref="C36" authorId="5" shapeId="0" xr:uid="{DD0272BB-54E4-429B-BD7F-D3119B42CC6F}">
      <text>
        <t>[Threaded comment]
Your version of Excel allows you to read this threaded comment; however, any edits to it will get removed if the file is opened in a newer version of Excel. Learn more: https://go.microsoft.com/fwlink/?linkid=870924
Comment:
    Note this should be unit discharge in the FLOODPLAIN between abutment face and channel bank (using eq. 8.6).</t>
      </text>
    </comment>
  </commentList>
</comments>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ADCE7184-053A-4601-99C7-0191EA75DD3B}" keepAlive="1" name="Query - Dodson_06155030" description="Connection to the 'Dodson_06155030' query in the workbook." type="5" refreshedVersion="6" background="1" saveData="1">
    <dbPr connection="Provider=Microsoft.Mashup.OleDb.1;Data Source=$Workbook$;Location=Dodson_06155030;Extended Properties=&quot;&quot;" command="SELECT * FROM [Dodson_06155030]"/>
  </connection>
  <connection id="2" xr16:uid="{956664AC-E157-4FB5-A47F-318FBF7DB085}" keepAlive="1" name="Query - HeaderText" description="Connection to the 'HeaderText' query in the workbook." type="5" refreshedVersion="6" background="1">
    <dbPr connection="Provider=Microsoft.Mashup.OleDb.1;Data Source=$Workbook$;Location=HeaderText;Extended Properties=&quot;&quot;" command="SELECT * FROM [HeaderText]"/>
  </connection>
  <connection id="3" xr16:uid="{91FA639B-9AD2-4357-9BCB-8E2E5A0A478F}" keepAlive="1" name="Query - HistoricalUSGS_Ice" description="Connection to the 'HistoricalUSGS_Ice' query in the workbook." type="5" refreshedVersion="6" background="1" saveData="1">
    <dbPr connection="Provider=Microsoft.Mashup.OleDb.1;Data Source=$Workbook$;Location=HistoricalUSGS_Ice;Extended Properties=&quot;&quot;" command="SELECT * FROM [HistoricalUSGS_Ice]"/>
  </connection>
  <connection id="4" xr16:uid="{3396679E-1EE9-4AAE-9ED6-003DE3D80483}" keepAlive="1" name="Query - HistoricalUSGS_Open" description="Connection to the 'HistoricalUSGS_Open' query in the workbook." type="5" refreshedVersion="6" background="1" saveData="1">
    <dbPr connection="Provider=Microsoft.Mashup.OleDb.1;Data Source=$Workbook$;Location=HistoricalUSGS_Open;Extended Properties=&quot;&quot;" command="SELECT * FROM [HistoricalUSGS_Open]"/>
  </connection>
</connection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<sst xmlns="http://schemas.openxmlformats.org/spreadsheetml/2006/main" count="1162" uniqueCount="629">
  <si>
    <t>Condition</t>
  </si>
  <si>
    <t>Assumptions:</t>
  </si>
  <si>
    <t>References:</t>
  </si>
  <si>
    <t>Workbook Description:</t>
  </si>
  <si>
    <t>Problem Statement:</t>
  </si>
  <si>
    <t>-</t>
  </si>
  <si>
    <t>This worksheet is the computation sheet for contraction scour. There is guidance on the specific equations used, as well as guidance on selecting reasonable input values.</t>
  </si>
  <si>
    <t>Crossing Name</t>
  </si>
  <si>
    <t>Description</t>
  </si>
  <si>
    <t>cfs</t>
  </si>
  <si>
    <t>ft</t>
  </si>
  <si>
    <r>
      <t>D</t>
    </r>
    <r>
      <rPr>
        <vertAlign val="subscript"/>
        <sz val="11"/>
        <color theme="1"/>
        <rFont val="Calibri"/>
        <family val="2"/>
        <scheme val="minor"/>
      </rPr>
      <t>50</t>
    </r>
  </si>
  <si>
    <t>mm</t>
  </si>
  <si>
    <t>Median bed material diameter</t>
  </si>
  <si>
    <t>Pier Type</t>
  </si>
  <si>
    <t>Group of Cylinders</t>
  </si>
  <si>
    <t>K1</t>
  </si>
  <si>
    <t>Correction factor for Pier Nose Shape</t>
  </si>
  <si>
    <t>Angle of Attack</t>
  </si>
  <si>
    <t>Degrees</t>
  </si>
  <si>
    <t>K2</t>
  </si>
  <si>
    <t>Correction factor for Angle of Attack</t>
  </si>
  <si>
    <t>Bed Condition</t>
  </si>
  <si>
    <t>Clear-Water</t>
  </si>
  <si>
    <t>K3</t>
  </si>
  <si>
    <t>Correction for Bed Condition</t>
  </si>
  <si>
    <t>Square Nose</t>
  </si>
  <si>
    <t>Round Nose</t>
  </si>
  <si>
    <t>Circular Cylinder</t>
  </si>
  <si>
    <t>Sharp Nose</t>
  </si>
  <si>
    <t>Plane Bed &amp; Antidune</t>
  </si>
  <si>
    <t>Medium Dunes</t>
  </si>
  <si>
    <t>Large Dunes</t>
  </si>
  <si>
    <t>Pier</t>
  </si>
  <si>
    <t>Step 1: Determine Clear Water or Live-Bed Conditions.</t>
  </si>
  <si>
    <t>U.S. Department of Transportation Federal Highway Administration. 2012. Evaluating Scour at Bridges, Fifth Edition. Hydraulic Design Series No. 18. Publication No. FHWA-HIF-12-003.</t>
  </si>
  <si>
    <r>
      <t xml:space="preserve">Ref: </t>
    </r>
    <r>
      <rPr>
        <i/>
        <sz val="11"/>
        <color theme="1"/>
        <rFont val="Calibri"/>
        <family val="2"/>
        <scheme val="minor"/>
      </rPr>
      <t>U.S. Department of Transportation Federal Highway Administration. 2012. Evaluating Scour at Bridges, Fifth Edition. Hydraulic Design Series No. 18. Publication No. FHWA-HIF-12-003.</t>
    </r>
  </si>
  <si>
    <t>Approach Discharge</t>
  </si>
  <si>
    <t>Discharge in channel at approcah section (Q1)</t>
  </si>
  <si>
    <t>Y1</t>
  </si>
  <si>
    <t>Calculate Critical Velocity</t>
  </si>
  <si>
    <t>Ku</t>
  </si>
  <si>
    <t>English units</t>
  </si>
  <si>
    <t>ft/s</t>
  </si>
  <si>
    <t xml:space="preserve">Ku </t>
  </si>
  <si>
    <t xml:space="preserve">y </t>
  </si>
  <si>
    <t xml:space="preserve">D50 </t>
  </si>
  <si>
    <t xml:space="preserve">D </t>
  </si>
  <si>
    <t xml:space="preserve">Vc </t>
  </si>
  <si>
    <t xml:space="preserve">Condition </t>
  </si>
  <si>
    <t>Step 2:  Calculate Live-Bed Scour</t>
  </si>
  <si>
    <t>Q2</t>
  </si>
  <si>
    <t>W2</t>
  </si>
  <si>
    <t>Y0</t>
  </si>
  <si>
    <t xml:space="preserve">Y0 </t>
  </si>
  <si>
    <t xml:space="preserve">Y1 </t>
  </si>
  <si>
    <t xml:space="preserve">Q1 </t>
  </si>
  <si>
    <t xml:space="preserve">Q2 </t>
  </si>
  <si>
    <t xml:space="preserve">W1 </t>
  </si>
  <si>
    <t xml:space="preserve">W2 </t>
  </si>
  <si>
    <t xml:space="preserve">S1 </t>
  </si>
  <si>
    <t xml:space="preserve">V* </t>
  </si>
  <si>
    <t xml:space="preserve">T </t>
  </si>
  <si>
    <t>ft/ft</t>
  </si>
  <si>
    <t xml:space="preserve">Y2 </t>
  </si>
  <si>
    <t xml:space="preserve">Ys </t>
  </si>
  <si>
    <t>V1</t>
  </si>
  <si>
    <t>Contracted  Discharge</t>
  </si>
  <si>
    <t>Discharge in channel at contracted section (Q2)</t>
  </si>
  <si>
    <t>Channel width of approach section (W1)</t>
  </si>
  <si>
    <t>Channel width of contracted section, less piers (W2)</t>
  </si>
  <si>
    <t>Energy Grade Line Slope</t>
  </si>
  <si>
    <t>Contraction</t>
  </si>
  <si>
    <t xml:space="preserve">k1 </t>
  </si>
  <si>
    <t>V*/T</t>
  </si>
  <si>
    <t>Step 3:  Calculate Clear Water Scour</t>
  </si>
  <si>
    <t>Dm</t>
  </si>
  <si>
    <t>Y0-L</t>
  </si>
  <si>
    <t>Y0-R</t>
  </si>
  <si>
    <t>Q2-L</t>
  </si>
  <si>
    <t>Q2-R</t>
  </si>
  <si>
    <t>Contracted Left  Discharge</t>
  </si>
  <si>
    <t>Contracted Right Discharge</t>
  </si>
  <si>
    <t>Discharge in left overbank at contracted section (Q2-L)</t>
  </si>
  <si>
    <t>Discharge in right overbank at contracted section (Q2-R)</t>
  </si>
  <si>
    <t>W2-L</t>
  </si>
  <si>
    <t>W2-R</t>
  </si>
  <si>
    <t>Approach Channel Width</t>
  </si>
  <si>
    <t>Contracted  Channel Width</t>
  </si>
  <si>
    <t>Contracted LOB Width</t>
  </si>
  <si>
    <t>Contracted ROB Width</t>
  </si>
  <si>
    <t>Left overbank width at contracted section (W2-L)</t>
  </si>
  <si>
    <t>Right overbank width at contracted section (W2-L)</t>
  </si>
  <si>
    <t>Step 4:  Report Contract Scour Values</t>
  </si>
  <si>
    <t xml:space="preserve">Y2-L </t>
  </si>
  <si>
    <t xml:space="preserve">Y2-R </t>
  </si>
  <si>
    <t xml:space="preserve">Ys-L </t>
  </si>
  <si>
    <t xml:space="preserve">Ys-R </t>
  </si>
  <si>
    <t>Contraction scour in left overbank (LOB)</t>
  </si>
  <si>
    <t>Contraction scour in right overbank (ROB)</t>
  </si>
  <si>
    <t>Depth in left overbank</t>
  </si>
  <si>
    <t>Depth in channel or at relief bridge</t>
  </si>
  <si>
    <t>Width in channel or at relief bridge</t>
  </si>
  <si>
    <t>Width in left overbank</t>
  </si>
  <si>
    <t>Discharge in left overbank</t>
  </si>
  <si>
    <t>* In coastal waterways which are affected by tides, as the cross-sectional area increases the discharge from the ocean may increase and thus the velocity and shear stress may not decrease. Consequently, relative equilibrium may not be reached. Thus, at tidal inlets contraction scour may result in a continual lowering of the bed.</t>
  </si>
  <si>
    <t>COMPUTED VALUES</t>
  </si>
  <si>
    <t>CONTRACTION SCOUR (HEC-18)</t>
  </si>
  <si>
    <t>ABUTMENT SCOUR (HEC-18)</t>
  </si>
  <si>
    <t>ABUTMENT SCOUR (NCHRP 24-20)</t>
  </si>
  <si>
    <t>***If cohesive materials present reference NCHRP 24-15 (2)***</t>
  </si>
  <si>
    <t>Cohesive materials and erodable bedrock absent from site.</t>
  </si>
  <si>
    <t xml:space="preserve">National Cooperative Highway Research Council. 2010. Estimation of Scour Depth at Bridge Abutments. NCHRP 24-20. </t>
  </si>
  <si>
    <t xml:space="preserve">Calculated Condition </t>
  </si>
  <si>
    <t>User defined value that will override calculated value</t>
  </si>
  <si>
    <t>Clear Water</t>
  </si>
  <si>
    <t>Live-Bed</t>
  </si>
  <si>
    <t>Abutment</t>
  </si>
  <si>
    <t>Source</t>
  </si>
  <si>
    <t>Step 1: Calculate Abutment Scour using Froelich's Equation</t>
  </si>
  <si>
    <t xml:space="preserve">Ve </t>
  </si>
  <si>
    <t>Ya</t>
  </si>
  <si>
    <t>Left Abutment</t>
  </si>
  <si>
    <t xml:space="preserve">L </t>
  </si>
  <si>
    <t xml:space="preserve">Qe </t>
  </si>
  <si>
    <t xml:space="preserve">Ae </t>
  </si>
  <si>
    <t xml:space="preserve">L  </t>
  </si>
  <si>
    <t xml:space="preserve">L'  </t>
  </si>
  <si>
    <t xml:space="preserve">K1 </t>
  </si>
  <si>
    <t xml:space="preserve">K2 </t>
  </si>
  <si>
    <t xml:space="preserve">Fr </t>
  </si>
  <si>
    <t>sq ft</t>
  </si>
  <si>
    <t xml:space="preserve">g </t>
  </si>
  <si>
    <t>ft/s2</t>
  </si>
  <si>
    <t xml:space="preserve">Left Abutment Length </t>
  </si>
  <si>
    <t>Right Abutment Length</t>
  </si>
  <si>
    <t>Encroachment length of right abutment (L)</t>
  </si>
  <si>
    <t>Encroachment length of left abutment (L)</t>
  </si>
  <si>
    <t xml:space="preserve">Left Obstructed Flow Length </t>
  </si>
  <si>
    <t>Length of active flow obstructed by left abutment (L')</t>
  </si>
  <si>
    <t>Length of active flow obstructed by right abutment (L')</t>
  </si>
  <si>
    <t>Left Embankment Skew Angle</t>
  </si>
  <si>
    <t>Right Embankment Skew Angle</t>
  </si>
  <si>
    <t>degrees</t>
  </si>
  <si>
    <t>Left  Abutment Shape</t>
  </si>
  <si>
    <t>Right Abutment Shape</t>
  </si>
  <si>
    <t>Left abutment shape</t>
  </si>
  <si>
    <t>Right abutment shape</t>
  </si>
  <si>
    <t>Vertical Wall</t>
  </si>
  <si>
    <t>Spill-Thru</t>
  </si>
  <si>
    <t>Wingwall</t>
  </si>
  <si>
    <t>Right Abutment</t>
  </si>
  <si>
    <t>Flow obstructed by left embankment and abutment (Qe)</t>
  </si>
  <si>
    <t>Flow obstructed by right embankment and abutment (Qe)</t>
  </si>
  <si>
    <t>Flow area obstructed by left embankment and abutment (Ae)</t>
  </si>
  <si>
    <t>Flow area obstructed by right embankment and abutment (Ae)</t>
  </si>
  <si>
    <t>Live/Clear Flow in Channel (optional)</t>
  </si>
  <si>
    <t>Step 2: Calculate Abutment Scour using HIRE Equation</t>
  </si>
  <si>
    <t>Flow Depth at Left Abutment</t>
  </si>
  <si>
    <t>Flow Depth at Right Abutment</t>
  </si>
  <si>
    <t>Depth of flow at face of left abutment (Y1)</t>
  </si>
  <si>
    <t>Depth of flow at face of right abutment (Y1)</t>
  </si>
  <si>
    <t>Step 3: Report Abutment Scour Values for Froelich's or HIRE Equation based on L/Y1 Criteria</t>
  </si>
  <si>
    <t>L/Y1</t>
  </si>
  <si>
    <t>Ys</t>
  </si>
  <si>
    <r>
      <t xml:space="preserve">Ref NCHRP 2010b: </t>
    </r>
    <r>
      <rPr>
        <i/>
        <sz val="11"/>
        <color theme="1"/>
        <rFont val="Calibri"/>
        <family val="2"/>
        <scheme val="minor"/>
      </rPr>
      <t xml:space="preserve">National Cooperative Highway Research Council. 2010. Estimation of Scour Depth at Bridge Abutments. NCHRP 24-20. </t>
    </r>
  </si>
  <si>
    <t>Step 1: Determine Equation to Use</t>
  </si>
  <si>
    <t>If L &gt;= 75% FPW use EQ 8.5</t>
  </si>
  <si>
    <t>Floodplain Width</t>
  </si>
  <si>
    <t>Projected Length of Embankment</t>
  </si>
  <si>
    <t>Example</t>
  </si>
  <si>
    <t xml:space="preserve">q1 </t>
  </si>
  <si>
    <t>lb/ft2</t>
  </si>
  <si>
    <r>
      <t xml:space="preserve">If L &lt; 75% FPW use EQ 8.6 or EQ 8.7 if </t>
    </r>
    <r>
      <rPr>
        <sz val="11"/>
        <color theme="1"/>
        <rFont val="Symbol"/>
        <family val="1"/>
        <charset val="2"/>
      </rPr>
      <t>t</t>
    </r>
    <r>
      <rPr>
        <sz val="11"/>
        <color theme="1"/>
        <rFont val="Calibri"/>
        <family val="2"/>
        <scheme val="minor"/>
      </rPr>
      <t>c is known</t>
    </r>
  </si>
  <si>
    <t>Right K1</t>
  </si>
  <si>
    <t>Right K2</t>
  </si>
  <si>
    <t>Left K1</t>
  </si>
  <si>
    <t>Left K2</t>
  </si>
  <si>
    <t>Right Abutment Shape Coefficient</t>
  </si>
  <si>
    <t>Left Abutment Shape Coefficient</t>
  </si>
  <si>
    <t>Left Skew Coefficient</t>
  </si>
  <si>
    <t>Right Skew Coefficient</t>
  </si>
  <si>
    <t>* Does not include NCHRP 24-20 Abutment Scour Methods</t>
  </si>
  <si>
    <t>'Traditional' HEC-18 Bridge Scour</t>
  </si>
  <si>
    <t>SIMPLE PIER SCOUR (HEC-18)</t>
  </si>
  <si>
    <t>Step 1: Determine if debris accumulation is to be considered</t>
  </si>
  <si>
    <t xml:space="preserve">Step 2: Determine approach to modeling multiple columns skewed to flow </t>
  </si>
  <si>
    <t>0C &gt;0.1</t>
  </si>
  <si>
    <t>0C &lt;0.1</t>
  </si>
  <si>
    <t>20C &gt;0.1</t>
  </si>
  <si>
    <t>20C &lt;0.1</t>
  </si>
  <si>
    <r>
      <rPr>
        <sz val="11"/>
        <color theme="1"/>
        <rFont val="Symbol"/>
        <family val="1"/>
        <charset val="2"/>
      </rPr>
      <t>w</t>
    </r>
    <r>
      <rPr>
        <sz val="11"/>
        <color theme="1"/>
        <rFont val="Calibri"/>
        <family val="2"/>
        <scheme val="minor"/>
      </rPr>
      <t xml:space="preserve"> = -0.0002X</t>
    </r>
    <r>
      <rPr>
        <vertAlign val="superscript"/>
        <sz val="11"/>
        <color theme="1"/>
        <rFont val="Calibri"/>
        <family val="2"/>
        <scheme val="minor"/>
      </rPr>
      <t>4</t>
    </r>
    <r>
      <rPr>
        <sz val="11"/>
        <color theme="1"/>
        <rFont val="Calibri"/>
        <family val="2"/>
        <scheme val="minor"/>
      </rPr>
      <t>+0.0035X</t>
    </r>
    <r>
      <rPr>
        <vertAlign val="superscript"/>
        <sz val="11"/>
        <color theme="1"/>
        <rFont val="Calibri"/>
        <family val="2"/>
        <scheme val="minor"/>
      </rPr>
      <t>3</t>
    </r>
    <r>
      <rPr>
        <sz val="11"/>
        <color theme="1"/>
        <rFont val="Calibri"/>
        <family val="2"/>
        <scheme val="minor"/>
      </rPr>
      <t>-0.0292X</t>
    </r>
    <r>
      <rPr>
        <vertAlign val="superscript"/>
        <sz val="11"/>
        <color theme="1"/>
        <rFont val="Calibri"/>
        <family val="2"/>
        <scheme val="minor"/>
      </rPr>
      <t>2</t>
    </r>
    <r>
      <rPr>
        <sz val="11"/>
        <color theme="1"/>
        <rFont val="Calibri"/>
        <family val="2"/>
        <scheme val="minor"/>
      </rPr>
      <t>+0.144x-0.0086</t>
    </r>
  </si>
  <si>
    <r>
      <rPr>
        <sz val="11"/>
        <color theme="1"/>
        <rFont val="Symbol"/>
        <family val="1"/>
        <charset val="2"/>
      </rPr>
      <t>w</t>
    </r>
    <r>
      <rPr>
        <sz val="11"/>
        <color theme="1"/>
        <rFont val="Calibri"/>
        <family val="2"/>
        <scheme val="minor"/>
      </rPr>
      <t xml:space="preserve"> = -0.0005X</t>
    </r>
    <r>
      <rPr>
        <vertAlign val="superscript"/>
        <sz val="11"/>
        <color theme="1"/>
        <rFont val="Calibri"/>
        <family val="2"/>
        <scheme val="minor"/>
      </rPr>
      <t>4</t>
    </r>
    <r>
      <rPr>
        <sz val="11"/>
        <color theme="1"/>
        <rFont val="Calibri"/>
        <family val="2"/>
        <scheme val="minor"/>
      </rPr>
      <t>+0.0081X</t>
    </r>
    <r>
      <rPr>
        <vertAlign val="superscript"/>
        <sz val="11"/>
        <color theme="1"/>
        <rFont val="Calibri"/>
        <family val="2"/>
        <scheme val="minor"/>
      </rPr>
      <t>3</t>
    </r>
    <r>
      <rPr>
        <sz val="11"/>
        <color theme="1"/>
        <rFont val="Calibri"/>
        <family val="2"/>
        <scheme val="minor"/>
      </rPr>
      <t>-0.0509X</t>
    </r>
    <r>
      <rPr>
        <vertAlign val="superscript"/>
        <sz val="11"/>
        <color theme="1"/>
        <rFont val="Calibri"/>
        <family val="2"/>
        <scheme val="minor"/>
      </rPr>
      <t>2</t>
    </r>
    <r>
      <rPr>
        <sz val="11"/>
        <color theme="1"/>
        <rFont val="Calibri"/>
        <family val="2"/>
        <scheme val="minor"/>
      </rPr>
      <t>+0.1806x-0.007</t>
    </r>
  </si>
  <si>
    <r>
      <rPr>
        <sz val="11"/>
        <color theme="1"/>
        <rFont val="Symbol"/>
        <family val="1"/>
        <charset val="2"/>
      </rPr>
      <t>w</t>
    </r>
    <r>
      <rPr>
        <sz val="11"/>
        <color theme="1"/>
        <rFont val="Calibri"/>
        <family val="2"/>
        <scheme val="minor"/>
      </rPr>
      <t xml:space="preserve"> = -0.7612X^1.8877</t>
    </r>
  </si>
  <si>
    <r>
      <rPr>
        <sz val="11"/>
        <color theme="1"/>
        <rFont val="Symbol"/>
        <family val="1"/>
        <charset val="2"/>
      </rPr>
      <t>w</t>
    </r>
    <r>
      <rPr>
        <sz val="11"/>
        <color theme="1"/>
        <rFont val="Calibri"/>
        <family val="2"/>
        <scheme val="minor"/>
      </rPr>
      <t xml:space="preserve"> = -0.4798X^1.9029</t>
    </r>
  </si>
  <si>
    <t xml:space="preserve">H </t>
  </si>
  <si>
    <t xml:space="preserve">W </t>
  </si>
  <si>
    <t xml:space="preserve">Y </t>
  </si>
  <si>
    <t xml:space="preserve">a </t>
  </si>
  <si>
    <t>Spacing</t>
  </si>
  <si>
    <t>Debris Width</t>
  </si>
  <si>
    <t>Debris Thickness</t>
  </si>
  <si>
    <t xml:space="preserve">a*d </t>
  </si>
  <si>
    <t>HEC-18 Bridge Scour</t>
  </si>
  <si>
    <t>This worksheet is the computation sheet for abutment scour using 'traditional' HEC-18 equations. There is guidance on the specific equations used, as well as guidance on selecting reasonable input values.</t>
  </si>
  <si>
    <t>This worksheet is the computation sheet for simple pier scour. There is guidance on the specific equations used, as well as guidance on selecting reasonable input values. This worksheet considers debris and multiple piles in a pier set, but does not consider methods used for complex piers.</t>
  </si>
  <si>
    <t>Complex piers not present</t>
  </si>
  <si>
    <t>Discharge in channel at bridge or at relief bridge</t>
  </si>
  <si>
    <t>a</t>
  </si>
  <si>
    <t xml:space="preserve">Spacing </t>
  </si>
  <si>
    <t xml:space="preserve">Spacing/a </t>
  </si>
  <si>
    <t>Np</t>
  </si>
  <si>
    <t>Length (L) of pier (effective length will be calculated for multiple piles)</t>
  </si>
  <si>
    <t>Has the user assigned a pier length?</t>
  </si>
  <si>
    <t>Face-to-face spacing between individual piles in a pier set (bent).</t>
  </si>
  <si>
    <t>Number of individual piles in a pier set (bent)</t>
  </si>
  <si>
    <t>L*d</t>
  </si>
  <si>
    <t>Debris on face of pier</t>
  </si>
  <si>
    <t>Yes</t>
  </si>
  <si>
    <t>No</t>
  </si>
  <si>
    <t>Debris between  piles</t>
  </si>
  <si>
    <t>Is debris likely to form on upstream face of piers?</t>
  </si>
  <si>
    <t>Is debris likely to form between piles in a pier set (bent)?</t>
  </si>
  <si>
    <t>Is debris considered?</t>
  </si>
  <si>
    <t>with debris</t>
  </si>
  <si>
    <t>without debris</t>
  </si>
  <si>
    <t>Is debris expected between piles?</t>
  </si>
  <si>
    <t>K2*d</t>
  </si>
  <si>
    <t xml:space="preserve">K2*d </t>
  </si>
  <si>
    <t>Angle of attack</t>
  </si>
  <si>
    <t>Is debris expected on face of piles?</t>
  </si>
  <si>
    <t>L/a</t>
  </si>
  <si>
    <t xml:space="preserve">L*d/a </t>
  </si>
  <si>
    <t xml:space="preserve">L/a </t>
  </si>
  <si>
    <t>using</t>
  </si>
  <si>
    <t>a*d</t>
  </si>
  <si>
    <t>Vav</t>
  </si>
  <si>
    <t>Yav</t>
  </si>
  <si>
    <t>Ymax</t>
  </si>
  <si>
    <t>Vmax</t>
  </si>
  <si>
    <t>Av. Ys</t>
  </si>
  <si>
    <t>Max Ys</t>
  </si>
  <si>
    <t>Max Fr</t>
  </si>
  <si>
    <t>Av. Fr</t>
  </si>
  <si>
    <t>Av. Ys*d</t>
  </si>
  <si>
    <t>Max Ys*d</t>
  </si>
  <si>
    <t>Step 3: Calculate local pier scour for average and maximum flow conditions and if considering debris</t>
  </si>
  <si>
    <t>Refer to SimplePierScour worksheet for description</t>
  </si>
  <si>
    <t>Width of pier (a)</t>
  </si>
  <si>
    <t>Debris Width (W)</t>
  </si>
  <si>
    <t>Debris Thickness (H)</t>
  </si>
  <si>
    <t>Worksheet Reference</t>
  </si>
  <si>
    <t>Contraction Scour</t>
  </si>
  <si>
    <t>Channel Condition</t>
  </si>
  <si>
    <t>Left Abutment Scour</t>
  </si>
  <si>
    <t>Method</t>
  </si>
  <si>
    <t>Depth</t>
  </si>
  <si>
    <t xml:space="preserve">Channel Depth </t>
  </si>
  <si>
    <t>Left Overbank Depth</t>
  </si>
  <si>
    <t>Right Overbank Depth</t>
  </si>
  <si>
    <t>Right Abutment Scour</t>
  </si>
  <si>
    <t>Pier Scour w/o Debris</t>
  </si>
  <si>
    <t>Maximum Depth</t>
  </si>
  <si>
    <t>Average Depth</t>
  </si>
  <si>
    <t>Pier Scour w/ Debris</t>
  </si>
  <si>
    <t>Includes consideration of longterm/general, contraction, and local scour</t>
  </si>
  <si>
    <t>NCHRP Abutment Scour</t>
  </si>
  <si>
    <t>Total Scour (HEC-18)</t>
  </si>
  <si>
    <t>Critical shear stress for local material (optional)</t>
  </si>
  <si>
    <t>Step 2a: Calculate Yc if using EQ 8.5</t>
  </si>
  <si>
    <t>Step 2b: Calculate Yc if using EQ 8.6</t>
  </si>
  <si>
    <t>Yc</t>
  </si>
  <si>
    <t>D50</t>
  </si>
  <si>
    <t>lb/ft3</t>
  </si>
  <si>
    <t xml:space="preserve">q2c </t>
  </si>
  <si>
    <t xml:space="preserve">Yc </t>
  </si>
  <si>
    <t xml:space="preserve">EQ. </t>
  </si>
  <si>
    <t xml:space="preserve">Bf </t>
  </si>
  <si>
    <r>
      <rPr>
        <sz val="11"/>
        <color theme="1"/>
        <rFont val="Symbol"/>
        <family val="1"/>
        <charset val="2"/>
      </rPr>
      <t>t</t>
    </r>
    <r>
      <rPr>
        <sz val="11"/>
        <color theme="1"/>
        <rFont val="Calibri"/>
        <family val="2"/>
        <scheme val="minor"/>
      </rPr>
      <t>c</t>
    </r>
    <r>
      <rPr>
        <sz val="11"/>
        <color theme="1"/>
        <rFont val="Calibri"/>
        <family val="1"/>
        <charset val="2"/>
        <scheme val="minor"/>
      </rPr>
      <t xml:space="preserve">  </t>
    </r>
  </si>
  <si>
    <r>
      <rPr>
        <sz val="11"/>
        <color theme="1"/>
        <rFont val="Symbol"/>
        <family val="1"/>
        <charset val="2"/>
      </rPr>
      <t>t</t>
    </r>
    <r>
      <rPr>
        <sz val="11"/>
        <color theme="1"/>
        <rFont val="Calibri"/>
        <family val="2"/>
        <scheme val="minor"/>
      </rPr>
      <t xml:space="preserve">c </t>
    </r>
    <r>
      <rPr>
        <sz val="11"/>
        <color theme="1"/>
        <rFont val="Calibri"/>
        <family val="1"/>
        <charset val="2"/>
        <scheme val="minor"/>
      </rPr>
      <t xml:space="preserve"> </t>
    </r>
  </si>
  <si>
    <t xml:space="preserve">Y1  </t>
  </si>
  <si>
    <t xml:space="preserve">q2f </t>
  </si>
  <si>
    <t xml:space="preserve">n </t>
  </si>
  <si>
    <r>
      <rPr>
        <sz val="11"/>
        <color theme="1"/>
        <rFont val="Symbol"/>
        <family val="1"/>
        <charset val="2"/>
      </rPr>
      <t>t</t>
    </r>
    <r>
      <rPr>
        <sz val="11"/>
        <color theme="1"/>
        <rFont val="Calibri"/>
        <family val="2"/>
        <scheme val="minor"/>
      </rPr>
      <t xml:space="preserve">c </t>
    </r>
  </si>
  <si>
    <t>Step 3: Calculate Abutment Scour Ys</t>
  </si>
  <si>
    <t>Left abutment</t>
  </si>
  <si>
    <t>Abutment Type</t>
  </si>
  <si>
    <t>Spill-Through</t>
  </si>
  <si>
    <t>Step 2c: Calculate Yc if using EQ 8.7</t>
  </si>
  <si>
    <t xml:space="preserve">Reference Figure </t>
  </si>
  <si>
    <t>Right abutment</t>
  </si>
  <si>
    <t>*Includes contraction scour</t>
  </si>
  <si>
    <t>Embankment Length</t>
  </si>
  <si>
    <t>L/Bf</t>
  </si>
  <si>
    <t>Width of left floodplain (Bf)</t>
  </si>
  <si>
    <t>Projected length of embankment within the floodplain (L)</t>
  </si>
  <si>
    <t>Equation</t>
  </si>
  <si>
    <t>Critical Shear Stress (optional)</t>
  </si>
  <si>
    <t>Equation determinant</t>
  </si>
  <si>
    <t>Equation number, HEC-18 Fifth Edition, NCHRP method section</t>
  </si>
  <si>
    <t>Upstream Flow Depth</t>
  </si>
  <si>
    <t>Upstream Unit Discharge</t>
  </si>
  <si>
    <t>Bridge Unit Discharge</t>
  </si>
  <si>
    <t>Unit discharge through the bridge (q2c)</t>
  </si>
  <si>
    <t>Unit discharge in the channel upstream of bridge (q1)</t>
  </si>
  <si>
    <r>
      <t>Critical shear stress of floodplain material (</t>
    </r>
    <r>
      <rPr>
        <sz val="11"/>
        <color theme="1"/>
        <rFont val="Symbol"/>
        <family val="1"/>
        <charset val="2"/>
      </rPr>
      <t>t</t>
    </r>
    <r>
      <rPr>
        <sz val="11"/>
        <color theme="1"/>
        <rFont val="Calibri"/>
        <family val="2"/>
        <scheme val="minor"/>
      </rPr>
      <t>c)</t>
    </r>
  </si>
  <si>
    <t>Unit discharge in the floodplain upstream of bridge (qf)</t>
  </si>
  <si>
    <t>Abutment Unit Discharge</t>
  </si>
  <si>
    <t>Abutment Flow Depth</t>
  </si>
  <si>
    <t>Bridge Channel Flow Depth</t>
  </si>
  <si>
    <t>Mean flow depth through the bridge (Y0)</t>
  </si>
  <si>
    <t>Unit discharge in the floodplain through the bridge (q2f)</t>
  </si>
  <si>
    <t>Critical Shear Stress</t>
  </si>
  <si>
    <t>Floodplain Manning's n</t>
  </si>
  <si>
    <t>Mean channel flow depth upstream of abutment (Y1)</t>
  </si>
  <si>
    <t>Mean floodplain flow depth upstream of abutment (Y1)</t>
  </si>
  <si>
    <t>Mean floodplain flow depth in contracted section (Y0)</t>
  </si>
  <si>
    <t>Amplification Factor</t>
  </si>
  <si>
    <t>Contraction Scour Flow Depth</t>
  </si>
  <si>
    <t>Maximum Abutment Scour Flow Depth</t>
  </si>
  <si>
    <t>Flow depth including contraction scour (Yc)</t>
  </si>
  <si>
    <t>Maximum flow depth resulting from abutment scour (Ymax)</t>
  </si>
  <si>
    <t>Total Abutment Scour (NCHRP)</t>
  </si>
  <si>
    <t>Manning's n of floodplain material under the bridge (n)</t>
  </si>
  <si>
    <t>Left Abutment Amplification Factor User Selection</t>
  </si>
  <si>
    <t>Right Abutment Amplification Factor User Selection</t>
  </si>
  <si>
    <t>Abutment NCHRP</t>
  </si>
  <si>
    <t>This worksheet is the computation sheet for abutment scour using NCHRP 24-20 equations. There is guidance on the specific equations used, as well as guidance on selecting reasonable input values.</t>
  </si>
  <si>
    <t>The user has a reasonable amount of expereince to select input variables, assess results, and select reasonable design values.</t>
  </si>
  <si>
    <r>
      <t>USER INPUT</t>
    </r>
    <r>
      <rPr>
        <sz val="11"/>
        <color theme="1"/>
        <rFont val="Calibri"/>
        <family val="2"/>
        <scheme val="minor"/>
      </rPr>
      <t xml:space="preserve"> (Populate only the white cells)</t>
    </r>
  </si>
  <si>
    <r>
      <t xml:space="preserve">USER INPUT </t>
    </r>
    <r>
      <rPr>
        <sz val="11"/>
        <color theme="1"/>
        <rFont val="Calibri"/>
        <family val="2"/>
        <scheme val="minor"/>
      </rPr>
      <t>(Populate only the white cells)</t>
    </r>
  </si>
  <si>
    <t>NCHRP 24-20 Abutment Scour</t>
  </si>
  <si>
    <t>Average depth of approach flow at pier face (Ya)</t>
  </si>
  <si>
    <t>Average Approach Depth</t>
  </si>
  <si>
    <t>Maximum Approach Depth</t>
  </si>
  <si>
    <t>Average Approach Velocity</t>
  </si>
  <si>
    <t>Maximum depth of approach flow at pier face (Ym)</t>
  </si>
  <si>
    <t>Average velocity of approach flow at pier face (Va)</t>
  </si>
  <si>
    <t>Maximum velocity of approach flow at pier face (Vm)</t>
  </si>
  <si>
    <t>Maximum Approach Velocity</t>
  </si>
  <si>
    <t>Pier Diameter or Width</t>
  </si>
  <si>
    <t>Pier Length</t>
  </si>
  <si>
    <t>Left Obstructed Flow</t>
  </si>
  <si>
    <t>Right Obstructed Flow Area</t>
  </si>
  <si>
    <t>Left Obstructed Flow Area</t>
  </si>
  <si>
    <t>Right Obstructed Flow</t>
  </si>
  <si>
    <t>Right Obstructed Flow Length</t>
  </si>
  <si>
    <t>Number of inline piles</t>
  </si>
  <si>
    <r>
      <t xml:space="preserve">SUGGESTED DESIGN VALUES </t>
    </r>
    <r>
      <rPr>
        <sz val="11"/>
        <color theme="1"/>
        <rFont val="Calibri"/>
        <family val="2"/>
        <scheme val="minor"/>
      </rPr>
      <t>(User Assigned Values)</t>
    </r>
  </si>
  <si>
    <t>Average Depth in Contracted Section (Y0)</t>
  </si>
  <si>
    <t>Average Contracted Channel Depth</t>
  </si>
  <si>
    <t xml:space="preserve">Average Contracted  LOB Depth </t>
  </si>
  <si>
    <t xml:space="preserve">Average Contracted  ROB Depth </t>
  </si>
  <si>
    <t>Average Depth in left overbank contracted section (Y0-L)</t>
  </si>
  <si>
    <t>Average Depth in right overbank contracted section (Y)-R)</t>
  </si>
  <si>
    <t>Average Depth  in Approach Section (Y1)</t>
  </si>
  <si>
    <t>Average Velocity in Approach Section (V1)</t>
  </si>
  <si>
    <t>Location</t>
  </si>
  <si>
    <t>Wave Induced Scour</t>
  </si>
  <si>
    <t>Maximum Orbital Bed Velocity</t>
  </si>
  <si>
    <t>Maximum wave orbital velocity at bed in absence of structure (Um)</t>
  </si>
  <si>
    <t>Regular Wave Period</t>
  </si>
  <si>
    <t>Regular wave period (T)</t>
  </si>
  <si>
    <t>Incident Regular Wavelength</t>
  </si>
  <si>
    <t>sec</t>
  </si>
  <si>
    <t>Wave Characteristics</t>
  </si>
  <si>
    <t xml:space="preserve">Water Depth </t>
  </si>
  <si>
    <t>Water depth at face of wall (h)</t>
  </si>
  <si>
    <t>Peak Spectral Wave Period</t>
  </si>
  <si>
    <t>Peak Spectral Wave Period (Tp)</t>
  </si>
  <si>
    <t>Significant Wave Height</t>
  </si>
  <si>
    <t>Maximum Nonbreaking Wave Height</t>
  </si>
  <si>
    <t>Significant wave height (Hs)</t>
  </si>
  <si>
    <t>Maximum nonbreaking wave height (H)</t>
  </si>
  <si>
    <t>Piles/Piers</t>
  </si>
  <si>
    <t>Seaward Uncertainty Factor</t>
  </si>
  <si>
    <t>Leeside Uncertainty Factor</t>
  </si>
  <si>
    <t>Vertical/Sloping Seawall (ROT method)</t>
  </si>
  <si>
    <t>Verical or Sloping</t>
  </si>
  <si>
    <t>Define the seawall as vertical or sloping</t>
  </si>
  <si>
    <t>Vertical</t>
  </si>
  <si>
    <t>Sloping</t>
  </si>
  <si>
    <t>Head Diameter/Width at Bed</t>
  </si>
  <si>
    <t>Define breakwater nose as vertical or sloping</t>
  </si>
  <si>
    <t>Seawall</t>
  </si>
  <si>
    <t>Breakwater</t>
  </si>
  <si>
    <t>Breakwater Scour</t>
  </si>
  <si>
    <t>Seawall Scour</t>
  </si>
  <si>
    <t>Pile/Pier Scour</t>
  </si>
  <si>
    <t>Pile/Pier</t>
  </si>
  <si>
    <t>Does not include scour associated with currents</t>
  </si>
  <si>
    <t>Relative diameter size</t>
  </si>
  <si>
    <t xml:space="preserve">Wave Induced Scour </t>
  </si>
  <si>
    <r>
      <t xml:space="preserve">Ref: </t>
    </r>
    <r>
      <rPr>
        <i/>
        <sz val="11"/>
        <color theme="1"/>
        <rFont val="Calibri"/>
        <family val="2"/>
        <scheme val="minor"/>
      </rPr>
      <t>U.S. Army Corps of Engineers. Coastal Engineering Manual - Part VI. 2011. EM 1110-2-1100 (Part VI). 28 September 2011 (Change 3).</t>
    </r>
  </si>
  <si>
    <t>Hmax</t>
  </si>
  <si>
    <t>h</t>
  </si>
  <si>
    <t>Sm</t>
  </si>
  <si>
    <t>Verical/Sloping Seawall Scour (ROT Method)</t>
  </si>
  <si>
    <t>*Nonbreaking waves will yield a maximum scour depth at L/4 (regular) or Lp/4 (irregular waves). These are calculated in this calculation notebook.</t>
  </si>
  <si>
    <t>**Irregular breaking wave method for vertical walls not considered here…</t>
  </si>
  <si>
    <t>Um</t>
  </si>
  <si>
    <t>T</t>
  </si>
  <si>
    <t>B</t>
  </si>
  <si>
    <t xml:space="preserve">Square-Ended Breakwater </t>
  </si>
  <si>
    <t>If vertical, is the end of the breakwater square</t>
  </si>
  <si>
    <t>Type</t>
  </si>
  <si>
    <t>Square</t>
  </si>
  <si>
    <t>Tp</t>
  </si>
  <si>
    <t>Seaward Cu</t>
  </si>
  <si>
    <t>Leeside Cu</t>
  </si>
  <si>
    <t>H</t>
  </si>
  <si>
    <t>Hs</t>
  </si>
  <si>
    <t>KC</t>
  </si>
  <si>
    <t>KCp</t>
  </si>
  <si>
    <t>Vert Sm</t>
  </si>
  <si>
    <t>Vertical Uncertainty Factor</t>
  </si>
  <si>
    <t>Vertical/Sloping Breakwater Head</t>
  </si>
  <si>
    <t>Mean value of 1.0 and St. Dev. of 0.6 (Cu) for vertical head</t>
  </si>
  <si>
    <t>Mean value of 1.0 and St. Dev. of 0.2 (Cu) for sloping head</t>
  </si>
  <si>
    <t>Mean value of 1.0 and St. Dev. of 0.34 (Cu) for sloping head</t>
  </si>
  <si>
    <t>Vert Cu</t>
  </si>
  <si>
    <t>tentative</t>
  </si>
  <si>
    <t>Seaward Sm</t>
  </si>
  <si>
    <t>Alt Vert Sm</t>
  </si>
  <si>
    <t>Leeside Sm</t>
  </si>
  <si>
    <t>Verical/Sloping Breakwater Head Scour</t>
  </si>
  <si>
    <t>D</t>
  </si>
  <si>
    <t>Small pile</t>
  </si>
  <si>
    <t>Max Sm</t>
  </si>
  <si>
    <t>Large pile</t>
  </si>
  <si>
    <t>Min Sm</t>
  </si>
  <si>
    <t>Seawall Type</t>
  </si>
  <si>
    <t>Breakwater Type</t>
  </si>
  <si>
    <t>Relative Diameter Size</t>
  </si>
  <si>
    <t>Vertical Depth</t>
  </si>
  <si>
    <t>Sloping Seaward Depth</t>
  </si>
  <si>
    <t>Sloping Leeside Depth</t>
  </si>
  <si>
    <t>U.S. Army Corps of Engineers. Coastal Engineering Manual - Part VI. 2011. EM 1110-2-1100 (Part VI). 28 September 2011 (Change 3).</t>
  </si>
  <si>
    <t xml:space="preserve">This worksheet is the primary interface for the user to input variables used in bridge scour calcutations and review results. It is intended that this worksheet be used for inclusion in reports as required. Additional worksheets may be referenced in this workbook to aid the user in selecting input variables. </t>
  </si>
  <si>
    <t xml:space="preserve">This worksheet is the primary interface for abutment scour using NCHRP 24-20 methods as outlined in HEC-18, fifth edition. It is intended that this worksheet be used for inclusion in reports as required. Additional worksheets may be referenced in this workbook to aid the user in selecting input variables. </t>
  </si>
  <si>
    <t xml:space="preserve">This worksheet is the primary interface wave induced scour at seawalls, breakwaters, and piers using USACE coastal methods as outlined inEM 1110-2-1100 Part VI, Change 3. It is intended that this worksheet be used for inclusion in reports as required. Additional worksheets may be referenced in this workbook to aid the user in selecting input variables. </t>
  </si>
  <si>
    <t>This worksheet is the computation sheet for wave induced scour using USACE coastal engineering methods. There is guidance on the specific equations used, as well as guidance on selecting reasonable input values.</t>
  </si>
  <si>
    <t>Wave Induced</t>
  </si>
  <si>
    <t>Pier diameter/width</t>
  </si>
  <si>
    <t>Pier size relative to incident wavelength</t>
  </si>
  <si>
    <t>Incident wavelength (L)</t>
  </si>
  <si>
    <t>Water depth at toe (h)</t>
  </si>
  <si>
    <t>square</t>
  </si>
  <si>
    <t>circular</t>
  </si>
  <si>
    <t>Type of pier</t>
  </si>
  <si>
    <t>Circular</t>
  </si>
  <si>
    <t>Subject :</t>
  </si>
  <si>
    <t>***If cohesive materials present, reference HEC-18 section 6.7***</t>
  </si>
  <si>
    <t xml:space="preserve">User defined Condition </t>
  </si>
  <si>
    <t>Discharge in right overbank</t>
  </si>
  <si>
    <t>Width in right overbank</t>
  </si>
  <si>
    <t>Depth in right overbank</t>
  </si>
  <si>
    <t>Contraction scour in channel or through relief bridge</t>
  </si>
  <si>
    <t>Eq 7.1</t>
  </si>
  <si>
    <t>Eq 7.1 using debris associated K2*d</t>
  </si>
  <si>
    <t>Diameter of sloping or width of breakwater head at toe (B)</t>
  </si>
  <si>
    <t>SO No. :</t>
  </si>
  <si>
    <t>Computed By :</t>
  </si>
  <si>
    <t>Checked By :</t>
  </si>
  <si>
    <t>Date :</t>
  </si>
  <si>
    <t>*Methods used are for coastal structures</t>
  </si>
  <si>
    <t>*References methods outlined in EM-1110-2-1100 Part VI</t>
  </si>
  <si>
    <t>*Seawall &amp; breakwater calculations specific to breaking waves (structures on/near coastline)</t>
  </si>
  <si>
    <t>*Rule of Thumb (ROT) methods identified where used.</t>
  </si>
  <si>
    <t>*Reference NCHRP 24-20 or HEC-18 (2012) for guidance on determining unit discharge</t>
  </si>
  <si>
    <t>*Does not include Complex Pier Scour Methods</t>
  </si>
  <si>
    <t>*Does not include FDOT Pier Scour Methods</t>
  </si>
  <si>
    <r>
      <t>Critical shear stress for floodplain material (</t>
    </r>
    <r>
      <rPr>
        <sz val="11"/>
        <color theme="0"/>
        <rFont val="Symbol"/>
        <family val="1"/>
        <charset val="2"/>
      </rPr>
      <t>t</t>
    </r>
    <r>
      <rPr>
        <sz val="11"/>
        <color theme="0"/>
        <rFont val="Calibri"/>
        <family val="2"/>
        <scheme val="minor"/>
      </rPr>
      <t>c)</t>
    </r>
  </si>
  <si>
    <t>Direction of flow relative to pier nose (select 0 if in line with pier)</t>
  </si>
  <si>
    <t>Worksheet Protection:</t>
  </si>
  <si>
    <t xml:space="preserve">Worksheets are password protected to avoid inadvertent changes to cells other than those intended to be populated by the user. </t>
  </si>
  <si>
    <t>Orientation of left embankment relative to downstream flowline (θ)</t>
  </si>
  <si>
    <t>Orientation of right embankment relative to downstream flowline (θ)</t>
  </si>
  <si>
    <t>Triangular</t>
  </si>
  <si>
    <t>Rectangular</t>
  </si>
  <si>
    <t>Debris Shape</t>
  </si>
  <si>
    <t>General shape of debris on face of pier</t>
  </si>
  <si>
    <t>Energy or WSE slope through approach section (S1)</t>
  </si>
  <si>
    <t>shape</t>
  </si>
  <si>
    <t>Adjusting Vert Sm equation to account for smaller KC values. Though EM method here suggests equation is good</t>
  </si>
  <si>
    <t xml:space="preserve">Fredsoe, the same authors referenced by EM, a curved plot suggests KC &lt; 1 would yield a scour depth, though small. </t>
  </si>
  <si>
    <t>***********</t>
  </si>
  <si>
    <t xml:space="preserve">for 0 &lt; KC &lt; 10, a KC &lt; 1 will yield a negative Sm value. When referencing another article produced by the Sumer &amp;  </t>
  </si>
  <si>
    <t xml:space="preserve">The curve describing the relative scour depth seems to 'flatten' at lower KC values with a narrow range of </t>
  </si>
  <si>
    <t xml:space="preserve">0.024-0.014 Sm/B. The Vert Sm equation has been modified to adopt the upper end of this range where the EM </t>
  </si>
  <si>
    <t>equation yields a smaller value:</t>
  </si>
  <si>
    <t xml:space="preserve">Sumer, B.M., J. Fredsoe, N. Christiansen and S.B. Hansen. 1994. Bed Shear Stress and Scour Around Coatsal Structures. 24th Annual Conference on Coastal Engineering. </t>
  </si>
  <si>
    <t>Developer: Mark McBroom, P.E. Michael Baker International</t>
  </si>
  <si>
    <t>Pemberton, E.L., and J.M. Lara. 1984. Computing Degradation and Local Scour: Technical Guideline for Bureau of Reclamation. U.S. Dept. of Interior, Bureau of Reclamation Engineering Research Center. Denver, CO. January 1984.</t>
  </si>
  <si>
    <t>Regime(Natural) scour computed as estimate of longterm degradation. It is recommended that longterm soundings or bathymetry data also be used to assess historical degradation/aggradation at the site of interest.</t>
  </si>
  <si>
    <t>Design Discharge</t>
  </si>
  <si>
    <t>Bend Radius</t>
  </si>
  <si>
    <t>Channel Width</t>
  </si>
  <si>
    <t>Bankfull width of channel containing Q (W)</t>
  </si>
  <si>
    <t>Median bed material diameter (D50)</t>
  </si>
  <si>
    <t>Channel morphology or condition</t>
  </si>
  <si>
    <t>Armored Bank</t>
  </si>
  <si>
    <t>Confluence</t>
  </si>
  <si>
    <t>Moderate Bend</t>
  </si>
  <si>
    <t>Right Angle Bend</t>
  </si>
  <si>
    <t>Severe Bend</t>
  </si>
  <si>
    <t>Straight</t>
  </si>
  <si>
    <t>Thorne</t>
  </si>
  <si>
    <t>Maynord</t>
  </si>
  <si>
    <r>
      <t xml:space="preserve">SUGGESTED DESIGN VALUE </t>
    </r>
    <r>
      <rPr>
        <sz val="11"/>
        <color theme="1"/>
        <rFont val="Calibri"/>
        <family val="2"/>
        <scheme val="minor"/>
      </rPr>
      <t>(User Assigned Values)</t>
    </r>
  </si>
  <si>
    <t xml:space="preserve">Depth </t>
  </si>
  <si>
    <t xml:space="preserve">Blench </t>
  </si>
  <si>
    <t xml:space="preserve">Lacey </t>
  </si>
  <si>
    <t xml:space="preserve">*Multiple equations/methods are used and the results presented. The user should consider the limitations </t>
  </si>
  <si>
    <t>*The suggested design value should be specified by the user based on the computed values and knowledge of the site.</t>
  </si>
  <si>
    <r>
      <t xml:space="preserve">Ref: </t>
    </r>
    <r>
      <rPr>
        <i/>
        <sz val="11"/>
        <color theme="1"/>
        <rFont val="Calibri"/>
        <family val="2"/>
        <scheme val="minor"/>
      </rPr>
      <t>Pemberton, E.L., and J.M. Lara. 1984. Computing Degradation and Local Scour: Technical Guideline for Bureau of Reclamation. U.S. Dept. of Interior, Bureau of Reclamation Engineering Research Center. Denver, CO. January 1984.</t>
    </r>
  </si>
  <si>
    <r>
      <t xml:space="preserve">Ref: </t>
    </r>
    <r>
      <rPr>
        <i/>
        <sz val="11"/>
        <color theme="1"/>
        <rFont val="Calibri"/>
        <family val="2"/>
        <scheme val="minor"/>
      </rPr>
      <t>Hydrocon Engineering (Continental) Ltd. 1983. A Review of Scour Multiplication Factors for Gravel-Bed Rivers. Hydrocon Engineering (Continental) Ltd., Alberta Environmental Research Trust.</t>
    </r>
  </si>
  <si>
    <t>GENERAL SCOUR (a.k.a. Regime or Natural Scour)</t>
  </si>
  <si>
    <t xml:space="preserve">Neill </t>
  </si>
  <si>
    <t>Design discharge confined to channel at location of interest (Qd)</t>
  </si>
  <si>
    <t>Bankfull Discharge</t>
  </si>
  <si>
    <t>Average  Bankfull Depth</t>
  </si>
  <si>
    <t>Average Design Channel Depth</t>
  </si>
  <si>
    <t>Average flow depth in channel at design discharge (Dad)</t>
  </si>
  <si>
    <t>Average flow depth in channel at bankfull discharge (Dabf)</t>
  </si>
  <si>
    <t>Average flow velocity in channel at design discharge(Va)</t>
  </si>
  <si>
    <t>Maximum Design Channel Depth</t>
  </si>
  <si>
    <t>General Regime Scour</t>
  </si>
  <si>
    <t>Dad</t>
  </si>
  <si>
    <t>Dabf</t>
  </si>
  <si>
    <t>(di)</t>
  </si>
  <si>
    <t>Qd</t>
  </si>
  <si>
    <t>W</t>
  </si>
  <si>
    <t>d50</t>
  </si>
  <si>
    <t>cfs/ft</t>
  </si>
  <si>
    <t>Qbf</t>
  </si>
  <si>
    <t>Bankfull discharge at location of interest (Qbf)</t>
  </si>
  <si>
    <t>m</t>
  </si>
  <si>
    <t>df</t>
  </si>
  <si>
    <t>ds</t>
  </si>
  <si>
    <t>class</t>
  </si>
  <si>
    <t>median D50 (mm)</t>
  </si>
  <si>
    <t>Fine Sand</t>
  </si>
  <si>
    <t>Coarse Gravel</t>
  </si>
  <si>
    <t>(qf)</t>
  </si>
  <si>
    <t>(qi)</t>
  </si>
  <si>
    <t>qd</t>
  </si>
  <si>
    <t>qbf</t>
  </si>
  <si>
    <t>(Q)</t>
  </si>
  <si>
    <t>(Dm)</t>
  </si>
  <si>
    <t>f</t>
  </si>
  <si>
    <t>dm</t>
  </si>
  <si>
    <t>Pemberton &amp; Lara 1984</t>
  </si>
  <si>
    <t>Hydrocon</t>
  </si>
  <si>
    <t>plZ_N</t>
  </si>
  <si>
    <t>plZ_L</t>
  </si>
  <si>
    <t>plZ_B</t>
  </si>
  <si>
    <t>Peberton &amp; Lara 1984, Neill</t>
  </si>
  <si>
    <t>Peberton &amp; Lara 1984, Lacey</t>
  </si>
  <si>
    <t>Peberton &amp; Lara 1984, Blench</t>
  </si>
  <si>
    <t>Neill</t>
  </si>
  <si>
    <t>Lacey</t>
  </si>
  <si>
    <t>Blench</t>
  </si>
  <si>
    <t>Pemberton &amp; Lara</t>
  </si>
  <si>
    <t>pl_ds</t>
  </si>
  <si>
    <t>Fbo</t>
  </si>
  <si>
    <t>dfo</t>
  </si>
  <si>
    <t>Va</t>
  </si>
  <si>
    <r>
      <t>Ref: Baird, D et al.</t>
    </r>
    <r>
      <rPr>
        <i/>
        <sz val="11"/>
        <color theme="1"/>
        <rFont val="Calibri"/>
        <family val="2"/>
        <scheme val="minor"/>
      </rPr>
      <t xml:space="preserve"> 2019. Guidelines for Evaluating Pipeline Channel Crossing Hazards to Ensure Effective Burial. U.S. Dept. of Interior, Bureau of Reclamation Technical Service Center. Denver, CO. September 2019.</t>
    </r>
  </si>
  <si>
    <t>Competent Mean Velocity</t>
  </si>
  <si>
    <t>Vc</t>
  </si>
  <si>
    <t>Reference plot to right for value (Vc)</t>
  </si>
  <si>
    <t>(Vm)</t>
  </si>
  <si>
    <t>(dm)</t>
  </si>
  <si>
    <t>Competent Velocity</t>
  </si>
  <si>
    <t>USBR Envelope Curve</t>
  </si>
  <si>
    <t>q</t>
  </si>
  <si>
    <t>ys</t>
  </si>
  <si>
    <t>Baird, D et al. 2019. Guidelines for Evaluating Pipeline Channel Crossing Hazards to Ensure Effective Burial. U.S. Dept. of Interior, Bureau of Reclamation Technical Service Center. Denver, CO. September 2019.</t>
  </si>
  <si>
    <t>Dmd</t>
  </si>
  <si>
    <t>(ymax)</t>
  </si>
  <si>
    <t>(V)</t>
  </si>
  <si>
    <t>(yh)</t>
  </si>
  <si>
    <t>Se</t>
  </si>
  <si>
    <t>Average Channel Velocity</t>
  </si>
  <si>
    <t>Energy gradeline slope at design discharge (Se)</t>
  </si>
  <si>
    <t>Zeller</t>
  </si>
  <si>
    <t>Average Design Channel Depth U/S</t>
  </si>
  <si>
    <t>Average flow depth in channel upstream of bend at design discharge (Dus)</t>
  </si>
  <si>
    <t>Dus</t>
  </si>
  <si>
    <t>Rc/W</t>
  </si>
  <si>
    <t>EQ. Rc/W</t>
  </si>
  <si>
    <t>Rc</t>
  </si>
  <si>
    <t>W/yh</t>
  </si>
  <si>
    <t>EQ. W/yh</t>
  </si>
  <si>
    <t>ybs</t>
  </si>
  <si>
    <t>Step 2: Calculate Zeller General Scour - Baird et al. 2019 (Simons Li &amp; Associates, 1985)</t>
  </si>
  <si>
    <t>Step 3: Calculate Neill Regime Scour - Pemberton &amp; Lara 1984</t>
  </si>
  <si>
    <t>Step 4: Calculate Lacey Regime Scour - Pemberton &amp; Lara 1984</t>
  </si>
  <si>
    <t>Step 5: Calculate Blench Regime Scour - Pemberton &amp; Lara 1984</t>
  </si>
  <si>
    <t>Step 6: Calculate Competent Velocity Scour - Pemberton &amp; Lara 1984</t>
  </si>
  <si>
    <t>Step 7:  Calculate USBR Envelope Curve Scour - Baird et al. 2019 (Pemberton &amp; Lara 1984)</t>
  </si>
  <si>
    <t>Step 8:  Calculate Maynord Bend Scour - Baird et al. 2019</t>
  </si>
  <si>
    <t>Step 9:  Calculate Thorne Bend Scour - Baird et al. 2019</t>
  </si>
  <si>
    <t>General Scour</t>
  </si>
  <si>
    <t>General</t>
  </si>
  <si>
    <t xml:space="preserve">This worksheet is the primary interface for the user to input variables used a number of general scour calcutations and review results. It is intended that this worksheet be used for inclusion in reports as required. Additional worksheets may be referenced in this workbook to aid the user in selecting input variables. </t>
  </si>
  <si>
    <t>This worksheet is the computation sheet for general scour. There is guidance on the specific equations used, as well as guidance on selecting reasonable input values.</t>
  </si>
  <si>
    <t>This workbook contains 10 worksheets to perform the bridge scour analysis:</t>
  </si>
  <si>
    <t>Step 10:  Cleanup values</t>
  </si>
  <si>
    <t>Comp Vel</t>
  </si>
  <si>
    <t>USBR Env</t>
  </si>
  <si>
    <t>*Applicable to gravel bed channels</t>
  </si>
  <si>
    <t>*Applicable to sand bed channels. Conservative for gravel</t>
  </si>
  <si>
    <t xml:space="preserve">General Scour </t>
  </si>
  <si>
    <t>Step 1: Determine Z Value - Pemberton &amp; Lara 1984</t>
  </si>
  <si>
    <t>Worksheets can be unprotected using the relevant method-specific password : General, HEC-18, NCHRP, or Wave.</t>
  </si>
  <si>
    <t>Perform bridge scour calculations for noncohesive materials. Consider all relevant forms of potential bridge scour including: general (long-term), contraction, abutment, and pier scour.</t>
  </si>
  <si>
    <t>Depth Below Thalweg</t>
  </si>
  <si>
    <t>Refer to Pier Scour worksheet for description</t>
  </si>
  <si>
    <t>Radius of curvature of bend (Rc). Leave blank if straight reach</t>
  </si>
  <si>
    <t>Drag the red lines over the graph to help identify the Competent Mean Velocity.</t>
  </si>
  <si>
    <t>Maximum flow depth in channel at design discharge (Dmd)</t>
  </si>
  <si>
    <t>Energy Gradeline Slope</t>
  </si>
  <si>
    <t>and applicability of each method when evaluating results.</t>
  </si>
  <si>
    <t>Version 2.1</t>
  </si>
  <si>
    <t>Onslow Bridge</t>
  </si>
  <si>
    <t>New Onslow Bridge</t>
  </si>
  <si>
    <t>C64/C65</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</si>
</sst>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0.0"/>
    <numFmt numFmtId="165" formatCode="0.000"/>
  </numFmts>
  <fonts count="23">
    <font>
      <sz val="11"/>
      <color theme="1"/>
      <name val="Calibri"/>
      <family val="2"/>
      <scheme val="minor"/>
    </font>
    <font>
      <b/>
      <sz val="11"/>
      <color theme="1"/>
      <name val="Calibri"/>
      <family val="2"/>
      <scheme val="minor"/>
    </font>
    <font>
      <sz val="11"/>
      <name val="Calibri"/>
      <family val="2"/>
      <scheme val="minor"/>
    </font>
    <font>
      <u/>
      <sz val="11"/>
      <color theme="10"/>
      <name val="Calibri"/>
      <family val="2"/>
      <scheme val="minor"/>
    </font>
    <font>
      <i/>
      <sz val="11"/>
      <color theme="1"/>
      <name val="Calibri"/>
      <family val="2"/>
      <scheme val="minor"/>
    </font>
    <font>
      <vertAlign val="subscript"/>
      <sz val="11"/>
      <color theme="1"/>
      <name val="Calibri"/>
      <family val="2"/>
      <scheme val="minor"/>
    </font>
    <font>
      <vertAlign val="superscript"/>
      <sz val="11"/>
      <color theme="1"/>
      <name val="Calibri"/>
      <family val="2"/>
      <scheme val="minor"/>
    </font>
    <font>
      <sz val="8"/>
      <name val="Calibri"/>
      <family val="2"/>
      <scheme val="minor"/>
    </font>
    <font>
      <sz val="11"/>
      <color theme="1"/>
      <name val="Symbol"/>
      <family val="1"/>
      <charset val="2"/>
    </font>
    <font>
      <sz val="11"/>
      <color theme="1"/>
      <name val="Calibri"/>
      <family val="1"/>
      <charset val="2"/>
      <scheme val="minor"/>
    </font>
    <font>
      <b/>
      <sz val="11"/>
      <color theme="0"/>
      <name val="Calibri"/>
      <family val="2"/>
      <scheme val="minor"/>
    </font>
    <font>
      <sz val="11"/>
      <color rgb="FF3F3F76"/>
      <name val="Calibri"/>
      <family val="2"/>
      <scheme val="minor"/>
    </font>
    <font>
      <b/>
      <sz val="11"/>
      <name val="Calibri"/>
      <family val="2"/>
      <scheme val="minor"/>
    </font>
    <font>
      <u/>
      <sz val="11"/>
      <color theme="1"/>
      <name val="Calibri"/>
      <family val="2"/>
      <scheme val="minor"/>
    </font>
    <font>
      <sz val="10"/>
      <name val="Arial"/>
      <family val="2"/>
    </font>
    <font>
      <sz val="11"/>
      <color theme="0"/>
      <name val="Calibri"/>
      <family val="2"/>
      <scheme val="minor"/>
    </font>
    <font>
      <b/>
      <sz val="16"/>
      <color theme="1"/>
      <name val="Calibri"/>
      <family val="2"/>
      <scheme val="minor"/>
    </font>
    <font>
      <sz val="11"/>
      <color theme="0"/>
      <name val="Symbol"/>
      <family val="1"/>
      <charset val="2"/>
    </font>
    <font>
      <sz val="11"/>
      <name val="Calibri"/>
      <family val="2"/>
    </font>
    <font>
      <i/>
      <sz val="10"/>
      <color theme="1"/>
      <name val="Calibri"/>
      <family val="2"/>
      <scheme val="minor"/>
    </font>
    <font>
      <sz val="11"/>
      <color rgb="FFFF0000"/>
      <name val="Calibri"/>
      <family val="2"/>
      <scheme val="minor"/>
    </font>
    <font>
      <u/>
      <sz val="11"/>
      <color rgb="FF002060"/>
      <name val="Calibri"/>
      <family val="2"/>
      <scheme val="minor"/>
    </font>
    <font>
      <sz val="11"/>
      <color rgb="FF002060"/>
      <name val="Calibri"/>
      <family val="2"/>
      <scheme val="minor"/>
    </font>
  </fonts>
  <fills count="12">
    <fill>
      <patternFill patternType="none"/>
    </fill>
    <fill>
      <patternFill patternType="gray125"/>
    </fill>
    <fill>
      <patternFill patternType="solid">
        <fgColor theme="4" tint="0.59999389629810485"/>
        <bgColor indexed="64"/>
      </patternFill>
    </fill>
    <fill>
      <patternFill patternType="solid">
        <fgColor theme="9" tint="0.39997558519241921"/>
        <bgColor indexed="64"/>
      </patternFill>
    </fill>
    <fill>
      <patternFill patternType="solid">
        <fgColor theme="9" tint="0.59999389629810485"/>
        <bgColor indexed="64"/>
      </patternFill>
    </fill>
    <fill>
      <patternFill patternType="solid">
        <fgColor theme="9" tint="0.79998168889431442"/>
        <bgColor indexed="64"/>
      </patternFill>
    </fill>
    <fill>
      <patternFill patternType="solid">
        <fgColor theme="4" tint="-0.249977111117893"/>
        <bgColor indexed="64"/>
      </patternFill>
    </fill>
    <fill>
      <patternFill patternType="solid">
        <fgColor theme="5" tint="-0.249977111117893"/>
        <bgColor indexed="64"/>
      </patternFill>
    </fill>
    <fill>
      <patternFill patternType="solid">
        <fgColor theme="5" tint="0.59999389629810485"/>
        <bgColor indexed="64"/>
      </patternFill>
    </fill>
    <fill>
      <patternFill patternType="solid">
        <fgColor rgb="FFFFCC99"/>
      </patternFill>
    </fill>
    <fill>
      <patternFill patternType="solid">
        <fgColor theme="5" tint="0.79998168889431442"/>
        <bgColor indexed="64"/>
      </patternFill>
    </fill>
    <fill>
      <patternFill patternType="solid">
        <fgColor theme="4" tint="0.79998168889431442"/>
        <bgColor indexed="64"/>
      </patternFill>
    </fill>
  </fills>
  <borders count="26">
    <border>
      <left/>
      <right/>
      <top/>
      <bottom/>
      <diagonal/>
    </border>
    <border>
      <left/>
      <right/>
      <top/>
      <bottom style="thin">
        <color indexed="64"/>
      </bottom>
      <diagonal/>
    </border>
    <border>
      <left style="thin">
        <color auto="1"/>
      </left>
      <right style="thin">
        <color auto="1"/>
      </right>
      <top style="thin">
        <color auto="1"/>
      </top>
      <bottom style="thin">
        <color auto="1"/>
      </bottom>
      <diagonal/>
    </border>
    <border>
      <left style="thin">
        <color indexed="64"/>
      </left>
      <right style="thin">
        <color indexed="64"/>
      </right>
      <top/>
      <bottom style="thin">
        <color indexed="64"/>
      </bottom>
      <diagonal/>
    </border>
    <border>
      <left/>
      <right/>
      <top style="thin">
        <color indexed="64"/>
      </top>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diagonal/>
    </border>
    <border>
      <left/>
      <right style="thin">
        <color indexed="64"/>
      </right>
      <top style="thin">
        <color indexed="64"/>
      </top>
      <bottom/>
      <diagonal/>
    </border>
    <border>
      <left style="thin">
        <color auto="1"/>
      </left>
      <right style="thin">
        <color auto="1"/>
      </right>
      <top style="thin">
        <color auto="1"/>
      </top>
      <bottom style="medium">
        <color indexed="64"/>
      </bottom>
      <diagonal/>
    </border>
    <border>
      <left style="thin">
        <color indexed="64"/>
      </left>
      <right/>
      <top/>
      <bottom/>
      <diagonal/>
    </border>
    <border>
      <left/>
      <right style="thin">
        <color indexed="64"/>
      </right>
      <top/>
      <bottom/>
      <diagonal/>
    </border>
    <border>
      <left style="thin">
        <color indexed="64"/>
      </left>
      <right/>
      <top style="thin">
        <color auto="1"/>
      </top>
      <bottom style="medium">
        <color indexed="64"/>
      </bottom>
      <diagonal/>
    </border>
    <border>
      <left/>
      <right/>
      <top style="thin">
        <color auto="1"/>
      </top>
      <bottom style="medium">
        <color indexed="64"/>
      </bottom>
      <diagonal/>
    </border>
    <border>
      <left/>
      <right style="thin">
        <color indexed="64"/>
      </right>
      <top style="thin">
        <color auto="1"/>
      </top>
      <bottom style="medium">
        <color indexed="64"/>
      </bottom>
      <diagonal/>
    </border>
    <border>
      <left style="thin">
        <color indexed="64"/>
      </left>
      <right/>
      <top style="medium">
        <color indexed="64"/>
      </top>
      <bottom style="thin">
        <color indexed="64"/>
      </bottom>
      <diagonal/>
    </border>
    <border>
      <left/>
      <right/>
      <top style="medium">
        <color indexed="64"/>
      </top>
      <bottom style="thin">
        <color indexed="64"/>
      </bottom>
      <diagonal/>
    </border>
    <border>
      <left/>
      <right style="thin">
        <color indexed="64"/>
      </right>
      <top style="medium">
        <color indexed="64"/>
      </top>
      <bottom style="thin">
        <color indexed="64"/>
      </bottom>
      <diagonal/>
    </border>
    <border>
      <left style="thin">
        <color indexed="64"/>
      </left>
      <right style="thin">
        <color auto="1"/>
      </right>
      <top style="medium">
        <color indexed="64"/>
      </top>
      <bottom/>
      <diagonal/>
    </border>
    <border>
      <left style="thin">
        <color indexed="64"/>
      </left>
      <right style="thin">
        <color auto="1"/>
      </right>
      <top/>
      <bottom/>
      <diagonal/>
    </border>
    <border>
      <left style="thin">
        <color indexed="64"/>
      </left>
      <right style="thin">
        <color auto="1"/>
      </right>
      <top/>
      <bottom style="medium">
        <color indexed="64"/>
      </bottom>
      <diagonal/>
    </border>
    <border>
      <left style="thin">
        <color rgb="FF7F7F7F"/>
      </left>
      <right style="thin">
        <color rgb="FF7F7F7F"/>
      </right>
      <top style="thin">
        <color rgb="FF7F7F7F"/>
      </top>
      <bottom style="thin">
        <color rgb="FF7F7F7F"/>
      </bottom>
      <diagonal/>
    </border>
    <border>
      <left style="thin">
        <color rgb="FF7F7F7F"/>
      </left>
      <right/>
      <top style="thin">
        <color indexed="64"/>
      </top>
      <bottom style="thin">
        <color rgb="FF7F7F7F"/>
      </bottom>
      <diagonal/>
    </border>
    <border>
      <left/>
      <right/>
      <top style="thin">
        <color indexed="64"/>
      </top>
      <bottom style="thin">
        <color rgb="FF7F7F7F"/>
      </bottom>
      <diagonal/>
    </border>
    <border>
      <left/>
      <right style="thin">
        <color rgb="FF7F7F7F"/>
      </right>
      <top style="thin">
        <color indexed="64"/>
      </top>
      <bottom style="thin">
        <color rgb="FF7F7F7F"/>
      </bottom>
      <diagonal/>
    </border>
  </borders>
  <cellStyleXfs count="4">
    <xf numFmtId="0" fontId="0" fillId="0" borderId="0"/>
    <xf numFmtId="0" fontId="3" fillId="0" borderId="0" applyNumberFormat="0" applyFill="0" applyBorder="0" applyAlignment="0" applyProtection="0"/>
    <xf numFmtId="0" fontId="11" fillId="9" borderId="22" applyNumberFormat="0" applyAlignment="0" applyProtection="0"/>
    <xf numFmtId="0" fontId="14" fillId="0" borderId="0"/>
  </cellStyleXfs>
  <cellXfs count="221">
    <xf numFmtId="0" fontId="0" fillId="0" borderId="0" xfId="0"/>
    <xf numFmtId="0" fontId="0" fillId="0" borderId="0" xfId="0" applyAlignment="1">
      <alignment horizontal="center"/>
    </xf>
    <xf numFmtId="0" fontId="0" fillId="0" borderId="0" xfId="0" applyAlignment="1">
      <alignment horizontal="left"/>
    </xf>
    <xf numFmtId="0" fontId="0" fillId="0" borderId="0" xfId="0" applyAlignment="1"/>
    <xf numFmtId="0" fontId="1" fillId="0" borderId="0" xfId="0" applyFont="1"/>
    <xf numFmtId="0" fontId="3" fillId="0" borderId="0" xfId="1"/>
    <xf numFmtId="0" fontId="3" fillId="0" borderId="0" xfId="1" applyAlignment="1">
      <alignment horizontal="left"/>
    </xf>
    <xf numFmtId="0" fontId="0" fillId="0" borderId="0" xfId="0" applyAlignment="1">
      <alignment horizontal="center" vertical="top"/>
    </xf>
    <xf numFmtId="0" fontId="0" fillId="5" borderId="5" xfId="0" applyFill="1" applyBorder="1" applyAlignment="1">
      <alignment horizontal="left"/>
    </xf>
    <xf numFmtId="0" fontId="0" fillId="0" borderId="0" xfId="0"/>
    <xf numFmtId="0" fontId="1" fillId="0" borderId="0" xfId="0" applyFont="1"/>
    <xf numFmtId="0" fontId="0" fillId="0" borderId="0" xfId="0" applyAlignment="1">
      <alignment horizontal="right"/>
    </xf>
    <xf numFmtId="0" fontId="0" fillId="0" borderId="0" xfId="0" applyAlignment="1">
      <alignment horizontal="center"/>
    </xf>
    <xf numFmtId="0" fontId="0" fillId="2" borderId="2" xfId="0" applyFill="1" applyBorder="1" applyAlignment="1">
      <alignment horizontal="right"/>
    </xf>
    <xf numFmtId="0" fontId="0" fillId="3" borderId="2" xfId="0" applyFill="1" applyBorder="1" applyAlignment="1">
      <alignment horizontal="right"/>
    </xf>
    <xf numFmtId="0" fontId="0" fillId="4" borderId="2" xfId="0" applyFill="1" applyBorder="1"/>
    <xf numFmtId="164" fontId="0" fillId="4" borderId="3" xfId="0" applyNumberFormat="1" applyFill="1" applyBorder="1"/>
    <xf numFmtId="0" fontId="0" fillId="4" borderId="3" xfId="0" applyFill="1" applyBorder="1"/>
    <xf numFmtId="0" fontId="0" fillId="5" borderId="8" xfId="0" applyFill="1" applyBorder="1" applyAlignment="1">
      <alignment horizontal="left"/>
    </xf>
    <xf numFmtId="0" fontId="0" fillId="5" borderId="4" xfId="0" applyFill="1" applyBorder="1" applyAlignment="1">
      <alignment horizontal="left"/>
    </xf>
    <xf numFmtId="0" fontId="0" fillId="5" borderId="9" xfId="0" applyFill="1" applyBorder="1" applyAlignment="1">
      <alignment horizontal="left"/>
    </xf>
    <xf numFmtId="0" fontId="0" fillId="5" borderId="6" xfId="0" applyFill="1" applyBorder="1" applyAlignment="1">
      <alignment horizontal="left"/>
    </xf>
    <xf numFmtId="0" fontId="0" fillId="5" borderId="7" xfId="0" applyFill="1" applyBorder="1" applyAlignment="1">
      <alignment horizontal="left"/>
    </xf>
    <xf numFmtId="0" fontId="0" fillId="5" borderId="8" xfId="0" applyFill="1" applyBorder="1" applyAlignment="1">
      <alignment horizontal="left"/>
    </xf>
    <xf numFmtId="0" fontId="0" fillId="5" borderId="4" xfId="0" applyFill="1" applyBorder="1" applyAlignment="1">
      <alignment horizontal="left"/>
    </xf>
    <xf numFmtId="0" fontId="0" fillId="5" borderId="9" xfId="0" applyFill="1" applyBorder="1" applyAlignment="1">
      <alignment horizontal="left"/>
    </xf>
    <xf numFmtId="0" fontId="2" fillId="0" borderId="0" xfId="0" applyFont="1"/>
    <xf numFmtId="0" fontId="0" fillId="0" borderId="1" xfId="0" applyBorder="1"/>
    <xf numFmtId="165" fontId="0" fillId="0" borderId="0" xfId="0" applyNumberFormat="1" applyAlignment="1">
      <alignment horizontal="center"/>
    </xf>
    <xf numFmtId="2" fontId="0" fillId="0" borderId="0" xfId="0" applyNumberFormat="1" applyAlignment="1">
      <alignment horizontal="center"/>
    </xf>
    <xf numFmtId="0" fontId="0" fillId="5" borderId="5" xfId="0" applyFill="1" applyBorder="1" applyAlignment="1">
      <alignment horizontal="left"/>
    </xf>
    <xf numFmtId="0" fontId="0" fillId="5" borderId="6" xfId="0" applyFill="1" applyBorder="1" applyAlignment="1">
      <alignment horizontal="left"/>
    </xf>
    <xf numFmtId="0" fontId="0" fillId="5" borderId="7" xfId="0" applyFill="1" applyBorder="1" applyAlignment="1">
      <alignment horizontal="left"/>
    </xf>
    <xf numFmtId="0" fontId="0" fillId="5" borderId="4" xfId="0" applyFill="1" applyBorder="1" applyAlignment="1">
      <alignment horizontal="left"/>
    </xf>
    <xf numFmtId="0" fontId="0" fillId="5" borderId="9" xfId="0" applyFill="1" applyBorder="1" applyAlignment="1">
      <alignment horizontal="left"/>
    </xf>
    <xf numFmtId="0" fontId="0" fillId="4" borderId="2" xfId="0" applyFill="1" applyBorder="1" applyAlignment="1">
      <alignment horizontal="center"/>
    </xf>
    <xf numFmtId="164" fontId="0" fillId="0" borderId="0" xfId="0" applyNumberFormat="1"/>
    <xf numFmtId="0" fontId="0" fillId="3" borderId="3" xfId="0" applyFill="1" applyBorder="1" applyAlignment="1">
      <alignment horizontal="right"/>
    </xf>
    <xf numFmtId="0" fontId="0" fillId="5" borderId="11" xfId="0" applyFill="1" applyBorder="1" applyAlignment="1">
      <alignment horizontal="left"/>
    </xf>
    <xf numFmtId="0" fontId="0" fillId="5" borderId="0" xfId="0" applyFill="1" applyBorder="1" applyAlignment="1">
      <alignment horizontal="left"/>
    </xf>
    <xf numFmtId="0" fontId="0" fillId="5" borderId="12" xfId="0" applyFill="1" applyBorder="1" applyAlignment="1">
      <alignment horizontal="left"/>
    </xf>
    <xf numFmtId="0" fontId="0" fillId="3" borderId="10" xfId="0" applyFill="1" applyBorder="1" applyAlignment="1">
      <alignment horizontal="right"/>
    </xf>
    <xf numFmtId="0" fontId="0" fillId="4" borderId="10" xfId="0" applyFill="1" applyBorder="1"/>
    <xf numFmtId="0" fontId="0" fillId="5" borderId="13" xfId="0" applyFill="1" applyBorder="1" applyAlignment="1">
      <alignment horizontal="left"/>
    </xf>
    <xf numFmtId="0" fontId="0" fillId="5" borderId="14" xfId="0" applyFill="1" applyBorder="1" applyAlignment="1">
      <alignment horizontal="left"/>
    </xf>
    <xf numFmtId="0" fontId="0" fillId="5" borderId="15" xfId="0" applyFill="1" applyBorder="1" applyAlignment="1">
      <alignment horizontal="left"/>
    </xf>
    <xf numFmtId="0" fontId="0" fillId="0" borderId="0" xfId="0" applyAlignment="1">
      <alignment horizontal="right" vertical="top"/>
    </xf>
    <xf numFmtId="0" fontId="9" fillId="0" borderId="0" xfId="0" applyFont="1" applyAlignment="1">
      <alignment horizontal="right"/>
    </xf>
    <xf numFmtId="0" fontId="0" fillId="0" borderId="0" xfId="0" quotePrefix="1" applyFont="1" applyAlignment="1">
      <alignment horizontal="left"/>
    </xf>
    <xf numFmtId="0" fontId="9" fillId="0" borderId="0" xfId="0" applyFont="1"/>
    <xf numFmtId="0" fontId="0" fillId="5" borderId="16" xfId="0" applyFill="1" applyBorder="1" applyAlignment="1"/>
    <xf numFmtId="0" fontId="0" fillId="5" borderId="17" xfId="0" applyFill="1" applyBorder="1" applyAlignment="1"/>
    <xf numFmtId="0" fontId="0" fillId="5" borderId="18" xfId="0" applyFill="1" applyBorder="1" applyAlignment="1"/>
    <xf numFmtId="0" fontId="0" fillId="5" borderId="6" xfId="0" applyFill="1" applyBorder="1" applyAlignment="1"/>
    <xf numFmtId="0" fontId="0" fillId="5" borderId="7" xfId="0" applyFill="1" applyBorder="1" applyAlignment="1"/>
    <xf numFmtId="0" fontId="0" fillId="4" borderId="3" xfId="0" applyFill="1" applyBorder="1" applyAlignment="1">
      <alignment horizontal="center"/>
    </xf>
    <xf numFmtId="0" fontId="0" fillId="5" borderId="8" xfId="0" applyFill="1" applyBorder="1" applyAlignment="1">
      <alignment horizontal="left"/>
    </xf>
    <xf numFmtId="0" fontId="0" fillId="5" borderId="4" xfId="0" applyFill="1" applyBorder="1" applyAlignment="1">
      <alignment horizontal="left"/>
    </xf>
    <xf numFmtId="0" fontId="0" fillId="5" borderId="9" xfId="0" applyFill="1" applyBorder="1" applyAlignment="1">
      <alignment horizontal="left"/>
    </xf>
    <xf numFmtId="0" fontId="0" fillId="5" borderId="5" xfId="0" applyFill="1" applyBorder="1" applyAlignment="1">
      <alignment horizontal="left"/>
    </xf>
    <xf numFmtId="0" fontId="0" fillId="5" borderId="6" xfId="0" applyFill="1" applyBorder="1" applyAlignment="1">
      <alignment horizontal="left"/>
    </xf>
    <xf numFmtId="0" fontId="0" fillId="5" borderId="7" xfId="0" applyFill="1" applyBorder="1" applyAlignment="1">
      <alignment horizontal="left"/>
    </xf>
    <xf numFmtId="0" fontId="0" fillId="0" borderId="0" xfId="0" applyAlignment="1">
      <alignment horizontal="center"/>
    </xf>
    <xf numFmtId="0" fontId="0" fillId="0" borderId="0" xfId="0" applyAlignment="1">
      <alignment wrapText="1"/>
    </xf>
    <xf numFmtId="0" fontId="0" fillId="0" borderId="0" xfId="0" applyAlignment="1">
      <alignment horizontal="center" vertical="top" wrapText="1"/>
    </xf>
    <xf numFmtId="0" fontId="0" fillId="4" borderId="2" xfId="0" applyFill="1" applyBorder="1" applyAlignment="1">
      <alignment horizontal="left"/>
    </xf>
    <xf numFmtId="0" fontId="0" fillId="2" borderId="2" xfId="0" applyFill="1" applyBorder="1" applyAlignment="1">
      <alignment horizontal="left"/>
    </xf>
    <xf numFmtId="0" fontId="1" fillId="0" borderId="0" xfId="0" applyFont="1" applyAlignment="1">
      <alignment horizontal="left"/>
    </xf>
    <xf numFmtId="0" fontId="0" fillId="8" borderId="2" xfId="0" applyFill="1" applyBorder="1" applyAlignment="1">
      <alignment horizontal="right"/>
    </xf>
    <xf numFmtId="0" fontId="0" fillId="8" borderId="2" xfId="0" applyFill="1" applyBorder="1" applyAlignment="1">
      <alignment horizontal="center"/>
    </xf>
    <xf numFmtId="0" fontId="0" fillId="8" borderId="2" xfId="0" applyFill="1" applyBorder="1" applyAlignment="1">
      <alignment horizontal="left"/>
    </xf>
    <xf numFmtId="0" fontId="8" fillId="0" borderId="0" xfId="0" applyFont="1" applyAlignment="1">
      <alignment horizontal="right"/>
    </xf>
    <xf numFmtId="0" fontId="0" fillId="0" borderId="0" xfId="0" applyAlignment="1">
      <alignment horizontal="center"/>
    </xf>
    <xf numFmtId="0" fontId="2" fillId="4" borderId="3" xfId="0" applyFont="1" applyFill="1" applyBorder="1" applyAlignment="1">
      <alignment horizontal="center"/>
    </xf>
    <xf numFmtId="2" fontId="0" fillId="0" borderId="0" xfId="0" applyNumberFormat="1"/>
    <xf numFmtId="164" fontId="0" fillId="4" borderId="2" xfId="0" applyNumberFormat="1" applyFill="1" applyBorder="1" applyAlignment="1">
      <alignment horizontal="center"/>
    </xf>
    <xf numFmtId="164" fontId="0" fillId="0" borderId="0" xfId="0" applyNumberFormat="1" applyAlignment="1">
      <alignment horizontal="center"/>
    </xf>
    <xf numFmtId="0" fontId="0" fillId="0" borderId="0" xfId="0" applyAlignment="1">
      <alignment horizontal="center"/>
    </xf>
    <xf numFmtId="0" fontId="0" fillId="10" borderId="2" xfId="0" applyFill="1" applyBorder="1" applyAlignment="1">
      <alignment horizontal="center"/>
    </xf>
    <xf numFmtId="2" fontId="0" fillId="10" borderId="2" xfId="0" applyNumberFormat="1" applyFill="1" applyBorder="1" applyAlignment="1">
      <alignment horizontal="center"/>
    </xf>
    <xf numFmtId="164" fontId="0" fillId="10" borderId="2" xfId="0" applyNumberFormat="1" applyFill="1" applyBorder="1" applyAlignment="1">
      <alignment horizontal="center"/>
    </xf>
    <xf numFmtId="0" fontId="0" fillId="5" borderId="8" xfId="0" applyFill="1" applyBorder="1" applyAlignment="1">
      <alignment horizontal="left"/>
    </xf>
    <xf numFmtId="0" fontId="0" fillId="5" borderId="4" xfId="0" applyFill="1" applyBorder="1" applyAlignment="1">
      <alignment horizontal="left"/>
    </xf>
    <xf numFmtId="0" fontId="0" fillId="5" borderId="9" xfId="0" applyFill="1" applyBorder="1" applyAlignment="1">
      <alignment horizontal="left"/>
    </xf>
    <xf numFmtId="0" fontId="0" fillId="0" borderId="0" xfId="0" applyAlignment="1">
      <alignment horizontal="center"/>
    </xf>
    <xf numFmtId="0" fontId="0" fillId="0" borderId="0" xfId="0" applyAlignment="1">
      <alignment horizontal="center"/>
    </xf>
    <xf numFmtId="0" fontId="13" fillId="0" borderId="0" xfId="0" applyFont="1" applyAlignment="1">
      <alignment horizontal="right"/>
    </xf>
    <xf numFmtId="0" fontId="13" fillId="0" borderId="0" xfId="0" applyFont="1"/>
    <xf numFmtId="0" fontId="13" fillId="0" borderId="0" xfId="0" applyFont="1" applyBorder="1" applyAlignment="1">
      <alignment horizontal="right"/>
    </xf>
    <xf numFmtId="0" fontId="0" fillId="0" borderId="0" xfId="0" applyAlignment="1">
      <alignment horizontal="left"/>
    </xf>
    <xf numFmtId="0" fontId="0" fillId="0" borderId="0" xfId="0" applyAlignment="1">
      <alignment horizontal="center"/>
    </xf>
    <xf numFmtId="0" fontId="0" fillId="5" borderId="6" xfId="0" applyFill="1" applyBorder="1" applyAlignment="1">
      <alignment horizontal="left"/>
    </xf>
    <xf numFmtId="0" fontId="0" fillId="5" borderId="7" xfId="0" applyFill="1" applyBorder="1" applyAlignment="1">
      <alignment horizontal="left"/>
    </xf>
    <xf numFmtId="0" fontId="0" fillId="5" borderId="5" xfId="0" applyFill="1" applyBorder="1" applyAlignment="1">
      <alignment horizontal="left"/>
    </xf>
    <xf numFmtId="0" fontId="0" fillId="0" borderId="0" xfId="0" applyAlignment="1">
      <alignment horizontal="center"/>
    </xf>
    <xf numFmtId="0" fontId="0" fillId="0" borderId="0" xfId="0" applyBorder="1" applyAlignment="1"/>
    <xf numFmtId="0" fontId="0" fillId="0" borderId="1" xfId="0" applyBorder="1" applyAlignment="1"/>
    <xf numFmtId="0" fontId="0" fillId="0" borderId="6" xfId="0" applyBorder="1" applyAlignment="1"/>
    <xf numFmtId="0" fontId="0" fillId="0" borderId="0" xfId="0" applyBorder="1" applyAlignment="1">
      <alignment horizontal="right"/>
    </xf>
    <xf numFmtId="0" fontId="16" fillId="0" borderId="0" xfId="0" quotePrefix="1" applyFont="1" applyAlignment="1">
      <alignment horizontal="left"/>
    </xf>
    <xf numFmtId="0" fontId="15" fillId="0" borderId="0" xfId="0" applyFont="1"/>
    <xf numFmtId="0" fontId="15" fillId="0" borderId="0" xfId="0" applyFont="1" applyAlignment="1">
      <alignment horizontal="right"/>
    </xf>
    <xf numFmtId="164" fontId="15" fillId="0" borderId="0" xfId="0" applyNumberFormat="1" applyFont="1" applyAlignment="1">
      <alignment horizontal="center"/>
    </xf>
    <xf numFmtId="0" fontId="15" fillId="0" borderId="0" xfId="0" applyFont="1" applyAlignment="1">
      <alignment horizontal="center"/>
    </xf>
    <xf numFmtId="49" fontId="15" fillId="0" borderId="0" xfId="0" applyNumberFormat="1" applyFont="1" applyAlignment="1">
      <alignment horizontal="right" vertical="center"/>
    </xf>
    <xf numFmtId="2" fontId="15" fillId="0" borderId="0" xfId="0" applyNumberFormat="1" applyFont="1" applyAlignment="1">
      <alignment horizontal="center" vertical="center"/>
    </xf>
    <xf numFmtId="2" fontId="15" fillId="0" borderId="0" xfId="0" applyNumberFormat="1" applyFont="1" applyAlignment="1">
      <alignment horizontal="center" vertical="center" wrapText="1"/>
    </xf>
    <xf numFmtId="0" fontId="0" fillId="5" borderId="5" xfId="0" applyFill="1" applyBorder="1" applyAlignment="1"/>
    <xf numFmtId="0" fontId="0" fillId="0" borderId="3" xfId="0" applyBorder="1" applyAlignment="1" applyProtection="1">
      <alignment horizontal="center"/>
      <protection locked="0"/>
    </xf>
    <xf numFmtId="0" fontId="0" fillId="0" borderId="2" xfId="0" applyBorder="1" applyAlignment="1" applyProtection="1">
      <alignment horizontal="center"/>
      <protection locked="0"/>
    </xf>
    <xf numFmtId="0" fontId="0" fillId="0" borderId="10" xfId="0" applyBorder="1" applyAlignment="1" applyProtection="1">
      <alignment horizontal="center"/>
      <protection locked="0"/>
    </xf>
    <xf numFmtId="164" fontId="0" fillId="11" borderId="2" xfId="0" applyNumberFormat="1" applyFill="1" applyBorder="1" applyAlignment="1" applyProtection="1">
      <alignment horizontal="center"/>
      <protection locked="0"/>
    </xf>
    <xf numFmtId="2" fontId="15" fillId="0" borderId="0" xfId="0" applyNumberFormat="1" applyFont="1"/>
    <xf numFmtId="2" fontId="0" fillId="0" borderId="2" xfId="0" applyNumberFormat="1" applyBorder="1" applyAlignment="1" applyProtection="1">
      <alignment horizontal="center"/>
      <protection locked="0"/>
    </xf>
    <xf numFmtId="2" fontId="0" fillId="4" borderId="2" xfId="0" applyNumberFormat="1" applyFill="1" applyBorder="1" applyAlignment="1">
      <alignment horizontal="center"/>
    </xf>
    <xf numFmtId="0" fontId="0" fillId="5" borderId="5" xfId="0" applyFill="1" applyBorder="1" applyAlignment="1">
      <alignment horizontal="left"/>
    </xf>
    <xf numFmtId="0" fontId="0" fillId="5" borderId="6" xfId="0" applyFill="1" applyBorder="1" applyAlignment="1">
      <alignment horizontal="left"/>
    </xf>
    <xf numFmtId="0" fontId="0" fillId="5" borderId="7" xfId="0" applyFill="1" applyBorder="1" applyAlignment="1">
      <alignment horizontal="left"/>
    </xf>
    <xf numFmtId="0" fontId="2" fillId="0" borderId="0" xfId="0" applyFont="1" applyAlignment="1">
      <alignment horizontal="right"/>
    </xf>
    <xf numFmtId="0" fontId="18" fillId="0" borderId="0" xfId="0" applyFont="1"/>
    <xf numFmtId="0" fontId="19" fillId="0" borderId="0" xfId="0" applyFont="1"/>
    <xf numFmtId="0" fontId="0" fillId="0" borderId="0" xfId="0" applyAlignment="1">
      <alignment horizontal="left" vertical="top"/>
    </xf>
    <xf numFmtId="0" fontId="0" fillId="0" borderId="0" xfId="0" applyAlignment="1">
      <alignment horizontal="left"/>
    </xf>
    <xf numFmtId="0" fontId="0" fillId="0" borderId="1" xfId="0" applyBorder="1" applyAlignment="1">
      <alignment horizontal="center"/>
    </xf>
    <xf numFmtId="0" fontId="0" fillId="5" borderId="5" xfId="0" applyFill="1" applyBorder="1" applyAlignment="1">
      <alignment horizontal="left"/>
    </xf>
    <xf numFmtId="0" fontId="0" fillId="5" borderId="8" xfId="0" applyFill="1" applyBorder="1" applyAlignment="1">
      <alignment horizontal="left"/>
    </xf>
    <xf numFmtId="0" fontId="0" fillId="5" borderId="4" xfId="0" applyFill="1" applyBorder="1" applyAlignment="1">
      <alignment horizontal="left"/>
    </xf>
    <xf numFmtId="0" fontId="0" fillId="5" borderId="9" xfId="0" applyFill="1" applyBorder="1" applyAlignment="1">
      <alignment horizontal="left"/>
    </xf>
    <xf numFmtId="0" fontId="2" fillId="0" borderId="10" xfId="0" applyFont="1" applyFill="1" applyBorder="1" applyAlignment="1" applyProtection="1">
      <alignment horizontal="center"/>
      <protection locked="0"/>
    </xf>
    <xf numFmtId="0" fontId="0" fillId="0" borderId="0" xfId="0" applyAlignment="1">
      <alignment vertical="top"/>
    </xf>
    <xf numFmtId="0" fontId="0" fillId="0" borderId="0" xfId="0" applyBorder="1"/>
    <xf numFmtId="0" fontId="0" fillId="0" borderId="0" xfId="0"/>
    <xf numFmtId="0" fontId="1" fillId="0" borderId="0" xfId="0" applyFont="1"/>
    <xf numFmtId="0" fontId="0" fillId="0" borderId="0" xfId="0" applyAlignment="1">
      <alignment horizontal="right"/>
    </xf>
    <xf numFmtId="0" fontId="0" fillId="0" borderId="0" xfId="0" applyAlignment="1">
      <alignment horizontal="center"/>
    </xf>
    <xf numFmtId="0" fontId="0" fillId="0" borderId="0" xfId="0" applyBorder="1"/>
    <xf numFmtId="0" fontId="0" fillId="0" borderId="0" xfId="0" applyBorder="1" applyAlignment="1">
      <alignment horizontal="center"/>
    </xf>
    <xf numFmtId="0" fontId="0" fillId="3" borderId="2" xfId="0" applyFill="1" applyBorder="1" applyAlignment="1">
      <alignment horizontal="right"/>
    </xf>
    <xf numFmtId="0" fontId="0" fillId="4" borderId="2" xfId="0" applyFill="1" applyBorder="1"/>
    <xf numFmtId="0" fontId="0" fillId="4" borderId="3" xfId="0" applyFill="1" applyBorder="1"/>
    <xf numFmtId="0" fontId="0" fillId="5" borderId="8" xfId="0" applyFill="1" applyBorder="1" applyAlignment="1">
      <alignment horizontal="left"/>
    </xf>
    <xf numFmtId="0" fontId="0" fillId="5" borderId="4" xfId="0" applyFill="1" applyBorder="1" applyAlignment="1">
      <alignment horizontal="left"/>
    </xf>
    <xf numFmtId="0" fontId="0" fillId="5" borderId="9" xfId="0" applyFill="1" applyBorder="1" applyAlignment="1">
      <alignment horizontal="left"/>
    </xf>
    <xf numFmtId="0" fontId="0" fillId="0" borderId="0" xfId="0" applyBorder="1" applyAlignment="1">
      <alignment wrapText="1"/>
    </xf>
    <xf numFmtId="0" fontId="0" fillId="0" borderId="0" xfId="0" applyFill="1" applyBorder="1" applyAlignment="1">
      <alignment horizontal="center"/>
    </xf>
    <xf numFmtId="2" fontId="0" fillId="0" borderId="0" xfId="0" applyNumberFormat="1" applyFill="1" applyBorder="1" applyAlignment="1">
      <alignment horizontal="center"/>
    </xf>
    <xf numFmtId="0" fontId="0" fillId="0" borderId="0" xfId="0" applyFill="1"/>
    <xf numFmtId="0" fontId="20" fillId="0" borderId="0" xfId="0" applyFont="1" applyFill="1" applyAlignment="1">
      <alignment horizontal="right"/>
    </xf>
    <xf numFmtId="0" fontId="20" fillId="0" borderId="0" xfId="0" applyFont="1" applyFill="1" applyAlignment="1">
      <alignment horizontal="center"/>
    </xf>
    <xf numFmtId="0" fontId="20" fillId="0" borderId="0" xfId="0" applyFont="1" applyFill="1"/>
    <xf numFmtId="0" fontId="0" fillId="0" borderId="5" xfId="0" applyBorder="1" applyAlignment="1" applyProtection="1">
      <alignment horizontal="center"/>
      <protection locked="0"/>
    </xf>
    <xf numFmtId="0" fontId="0" fillId="0" borderId="3" xfId="0" applyFill="1" applyBorder="1" applyAlignment="1" applyProtection="1">
      <alignment horizontal="center"/>
      <protection locked="0"/>
    </xf>
    <xf numFmtId="0" fontId="22" fillId="0" borderId="0" xfId="0" applyFont="1"/>
    <xf numFmtId="0" fontId="20" fillId="0" borderId="2" xfId="0" applyFont="1" applyBorder="1" applyAlignment="1" applyProtection="1">
      <alignment horizontal="center"/>
      <protection locked="0"/>
    </xf>
    <xf numFmtId="0" fontId="20" fillId="0" borderId="3" xfId="0" applyFont="1" applyFill="1" applyBorder="1" applyAlignment="1" applyProtection="1">
      <alignment horizontal="center"/>
      <protection locked="0"/>
    </xf>
    <xf numFmtId="2" fontId="20" fillId="0" borderId="2" xfId="0" applyNumberFormat="1" applyFont="1" applyBorder="1" applyAlignment="1" applyProtection="1">
      <alignment horizontal="center"/>
      <protection locked="0"/>
    </xf>
    <xf numFmtId="1" fontId="20" fillId="0" borderId="2" xfId="0" applyNumberFormat="1" applyFont="1" applyBorder="1" applyAlignment="1" applyProtection="1">
      <alignment horizontal="center"/>
      <protection locked="0"/>
    </xf>
    <xf numFmtId="14" fontId="0" fillId="0" borderId="6" xfId="0" applyNumberFormat="1" applyBorder="1" applyAlignment="1">
      <alignment horizontal="center"/>
    </xf>
    <xf numFmtId="0" fontId="0" fillId="0" borderId="6" xfId="0" applyBorder="1" applyAlignment="1">
      <alignment horizontal="center"/>
    </xf>
    <xf numFmtId="0" fontId="0" fillId="0" borderId="1" xfId="0" applyBorder="1" applyAlignment="1">
      <alignment horizontal="left"/>
    </xf>
    <xf numFmtId="0" fontId="0" fillId="0" borderId="1" xfId="0" applyBorder="1" applyAlignment="1">
      <alignment horizontal="center"/>
    </xf>
    <xf numFmtId="0" fontId="0" fillId="0" borderId="0" xfId="0" applyAlignment="1">
      <alignment horizontal="left" vertical="top" wrapText="1"/>
    </xf>
    <xf numFmtId="0" fontId="0" fillId="0" borderId="0" xfId="0" applyBorder="1" applyAlignment="1">
      <alignment horizontal="center"/>
    </xf>
    <xf numFmtId="0" fontId="0" fillId="0" borderId="4" xfId="0" applyBorder="1" applyAlignment="1">
      <alignment horizontal="right"/>
    </xf>
    <xf numFmtId="0" fontId="21" fillId="0" borderId="0" xfId="1" applyFont="1" applyAlignment="1">
      <alignment horizontal="left" wrapText="1"/>
    </xf>
    <xf numFmtId="0" fontId="0" fillId="0" borderId="0" xfId="0" applyAlignment="1">
      <alignment horizontal="left" wrapText="1"/>
    </xf>
    <xf numFmtId="0" fontId="0" fillId="0" borderId="0" xfId="0" applyAlignment="1">
      <alignment horizontal="left" vertical="top"/>
    </xf>
    <xf numFmtId="0" fontId="21" fillId="0" borderId="0" xfId="1" applyFont="1" applyAlignment="1">
      <alignment horizontal="left" vertical="top" wrapText="1"/>
    </xf>
    <xf numFmtId="0" fontId="0" fillId="0" borderId="0" xfId="0" applyAlignment="1">
      <alignment horizontal="left"/>
    </xf>
    <xf numFmtId="0" fontId="10" fillId="7" borderId="2" xfId="0" applyFont="1" applyFill="1" applyBorder="1" applyAlignment="1">
      <alignment horizontal="left"/>
    </xf>
    <xf numFmtId="0" fontId="0" fillId="0" borderId="2" xfId="0" applyBorder="1" applyAlignment="1" applyProtection="1">
      <protection locked="0"/>
    </xf>
    <xf numFmtId="0" fontId="0" fillId="0" borderId="10" xfId="0" applyBorder="1" applyAlignment="1" applyProtection="1">
      <protection locked="0"/>
    </xf>
    <xf numFmtId="0" fontId="0" fillId="5" borderId="11" xfId="0" applyFill="1" applyBorder="1" applyAlignment="1">
      <alignment horizontal="left"/>
    </xf>
    <xf numFmtId="0" fontId="0" fillId="5" borderId="0" xfId="0" applyFill="1" applyBorder="1" applyAlignment="1">
      <alignment horizontal="left"/>
    </xf>
    <xf numFmtId="0" fontId="0" fillId="5" borderId="12" xfId="0" applyFill="1" applyBorder="1" applyAlignment="1">
      <alignment horizontal="left"/>
    </xf>
    <xf numFmtId="0" fontId="0" fillId="5" borderId="5" xfId="0" applyFill="1" applyBorder="1" applyAlignment="1">
      <alignment horizontal="left"/>
    </xf>
    <xf numFmtId="0" fontId="0" fillId="5" borderId="6" xfId="0" applyFill="1" applyBorder="1" applyAlignment="1">
      <alignment horizontal="left"/>
    </xf>
    <xf numFmtId="0" fontId="0" fillId="5" borderId="7" xfId="0" applyFill="1" applyBorder="1" applyAlignment="1">
      <alignment horizontal="left"/>
    </xf>
    <xf numFmtId="0" fontId="2" fillId="0" borderId="0" xfId="0" applyFont="1" applyAlignment="1">
      <alignment horizontal="center"/>
    </xf>
    <xf numFmtId="0" fontId="0" fillId="11" borderId="2" xfId="0" applyFill="1" applyBorder="1" applyAlignment="1" applyProtection="1">
      <alignment horizontal="left" vertical="top" wrapText="1"/>
      <protection locked="0"/>
    </xf>
    <xf numFmtId="0" fontId="0" fillId="5" borderId="8" xfId="0" applyFill="1" applyBorder="1" applyAlignment="1">
      <alignment horizontal="left"/>
    </xf>
    <xf numFmtId="0" fontId="0" fillId="5" borderId="4" xfId="0" applyFill="1" applyBorder="1" applyAlignment="1">
      <alignment horizontal="left"/>
    </xf>
    <xf numFmtId="0" fontId="0" fillId="5" borderId="9" xfId="0" applyFill="1" applyBorder="1" applyAlignment="1">
      <alignment horizontal="left"/>
    </xf>
    <xf numFmtId="0" fontId="0" fillId="0" borderId="5" xfId="0" applyBorder="1" applyAlignment="1" applyProtection="1">
      <alignment horizontal="center"/>
      <protection locked="0"/>
    </xf>
    <xf numFmtId="0" fontId="0" fillId="0" borderId="7" xfId="0" applyBorder="1" applyAlignment="1" applyProtection="1">
      <alignment horizontal="center"/>
      <protection locked="0"/>
    </xf>
    <xf numFmtId="0" fontId="2" fillId="11" borderId="5" xfId="0" applyFont="1" applyFill="1" applyBorder="1" applyAlignment="1">
      <alignment horizontal="left"/>
    </xf>
    <xf numFmtId="0" fontId="2" fillId="11" borderId="6" xfId="0" applyFont="1" applyFill="1" applyBorder="1" applyAlignment="1">
      <alignment horizontal="left"/>
    </xf>
    <xf numFmtId="0" fontId="2" fillId="11" borderId="7" xfId="0" applyFont="1" applyFill="1" applyBorder="1" applyAlignment="1">
      <alignment horizontal="left"/>
    </xf>
    <xf numFmtId="0" fontId="10" fillId="6" borderId="2" xfId="0" applyFont="1" applyFill="1" applyBorder="1" applyAlignment="1">
      <alignment horizontal="left"/>
    </xf>
    <xf numFmtId="0" fontId="2" fillId="10" borderId="5" xfId="0" applyFont="1" applyFill="1" applyBorder="1" applyAlignment="1">
      <alignment horizontal="left"/>
    </xf>
    <xf numFmtId="0" fontId="2" fillId="10" borderId="6" xfId="0" applyFont="1" applyFill="1" applyBorder="1" applyAlignment="1">
      <alignment horizontal="left"/>
    </xf>
    <xf numFmtId="0" fontId="2" fillId="10" borderId="7" xfId="0" applyFont="1" applyFill="1" applyBorder="1" applyAlignment="1">
      <alignment horizontal="left"/>
    </xf>
    <xf numFmtId="0" fontId="12" fillId="9" borderId="23" xfId="2" applyFont="1" applyBorder="1" applyAlignment="1">
      <alignment horizontal="left"/>
    </xf>
    <xf numFmtId="0" fontId="12" fillId="9" borderId="24" xfId="2" applyFont="1" applyBorder="1" applyAlignment="1">
      <alignment horizontal="left"/>
    </xf>
    <xf numFmtId="0" fontId="12" fillId="9" borderId="25" xfId="2" applyFont="1" applyBorder="1" applyAlignment="1">
      <alignment horizontal="left"/>
    </xf>
    <xf numFmtId="0" fontId="0" fillId="0" borderId="0" xfId="0" applyBorder="1" applyAlignment="1">
      <alignment horizontal="center" wrapText="1"/>
    </xf>
    <xf numFmtId="0" fontId="0" fillId="0" borderId="1" xfId="0" applyBorder="1" applyAlignment="1">
      <alignment horizontal="center" wrapText="1"/>
    </xf>
    <xf numFmtId="0" fontId="0" fillId="3" borderId="2" xfId="0" applyFill="1" applyBorder="1" applyAlignment="1">
      <alignment horizontal="center" wrapText="1"/>
    </xf>
    <xf numFmtId="0" fontId="0" fillId="3" borderId="10" xfId="0" applyFill="1" applyBorder="1" applyAlignment="1">
      <alignment horizontal="center" wrapText="1"/>
    </xf>
    <xf numFmtId="0" fontId="0" fillId="0" borderId="0" xfId="0" applyAlignment="1" applyProtection="1">
      <alignment horizontal="center"/>
      <protection locked="0"/>
    </xf>
    <xf numFmtId="0" fontId="0" fillId="5" borderId="19" xfId="0" applyFill="1" applyBorder="1" applyAlignment="1">
      <alignment horizontal="center" vertical="center"/>
    </xf>
    <xf numFmtId="0" fontId="0" fillId="5" borderId="20" xfId="0" applyFill="1" applyBorder="1" applyAlignment="1">
      <alignment horizontal="center" vertical="center"/>
    </xf>
    <xf numFmtId="0" fontId="0" fillId="5" borderId="21" xfId="0" applyFill="1" applyBorder="1" applyAlignment="1">
      <alignment horizontal="center" vertical="center"/>
    </xf>
    <xf numFmtId="0" fontId="0" fillId="5" borderId="3" xfId="0" applyFill="1" applyBorder="1" applyAlignment="1">
      <alignment horizontal="center" vertical="center"/>
    </xf>
    <xf numFmtId="0" fontId="20" fillId="0" borderId="5" xfId="0" applyFont="1" applyBorder="1" applyAlignment="1" applyProtection="1">
      <alignment horizontal="left"/>
      <protection locked="0"/>
    </xf>
    <xf numFmtId="0" fontId="20" fillId="0" borderId="7" xfId="0" applyFont="1" applyBorder="1" applyAlignment="1" applyProtection="1">
      <alignment horizontal="left"/>
      <protection locked="0"/>
    </xf>
    <xf numFmtId="0" fontId="0" fillId="0" borderId="5" xfId="0" applyFill="1" applyBorder="1" applyAlignment="1" applyProtection="1">
      <alignment horizontal="center"/>
      <protection locked="0"/>
    </xf>
    <xf numFmtId="0" fontId="0" fillId="0" borderId="7" xfId="0" applyFill="1" applyBorder="1" applyAlignment="1" applyProtection="1">
      <alignment horizontal="center"/>
      <protection locked="0"/>
    </xf>
    <xf numFmtId="0" fontId="12" fillId="9" borderId="22" xfId="2" applyFont="1" applyAlignment="1">
      <alignment horizontal="left"/>
    </xf>
    <xf numFmtId="0" fontId="0" fillId="5" borderId="5" xfId="0" applyFill="1" applyBorder="1" applyAlignment="1">
      <alignment horizontal="center"/>
    </xf>
    <xf numFmtId="0" fontId="0" fillId="5" borderId="6" xfId="0" applyFill="1" applyBorder="1" applyAlignment="1">
      <alignment horizontal="center"/>
    </xf>
    <xf numFmtId="0" fontId="0" fillId="5" borderId="7" xfId="0" applyFill="1" applyBorder="1" applyAlignment="1">
      <alignment horizontal="center"/>
    </xf>
    <xf numFmtId="0" fontId="0" fillId="11" borderId="2" xfId="0" applyFill="1" applyBorder="1" applyAlignment="1">
      <alignment horizontal="left" vertical="top" wrapText="1"/>
    </xf>
    <xf numFmtId="0" fontId="0" fillId="3" borderId="16" xfId="0" applyFill="1" applyBorder="1" applyAlignment="1">
      <alignment horizontal="center"/>
    </xf>
    <xf numFmtId="0" fontId="0" fillId="3" borderId="17" xfId="0" applyFill="1" applyBorder="1" applyAlignment="1">
      <alignment horizontal="center"/>
    </xf>
    <xf numFmtId="0" fontId="0" fillId="3" borderId="18" xfId="0" applyFill="1" applyBorder="1" applyAlignment="1">
      <alignment horizontal="center"/>
    </xf>
    <xf numFmtId="0" fontId="0" fillId="3" borderId="5" xfId="0" applyFill="1" applyBorder="1" applyAlignment="1">
      <alignment horizontal="center"/>
    </xf>
    <xf numFmtId="0" fontId="0" fillId="3" borderId="6" xfId="0" applyFill="1" applyBorder="1" applyAlignment="1">
      <alignment horizontal="center"/>
    </xf>
    <xf numFmtId="0" fontId="0" fillId="3" borderId="7" xfId="0" applyFill="1" applyBorder="1" applyAlignment="1">
      <alignment horizontal="center"/>
    </xf>
    <xf numFmtId="0" fontId="0" fillId="0" borderId="2" xfId="0" applyBorder="1" applyAlignment="1" applyProtection="1">
      <alignment horizontal="left"/>
      <protection locked="0"/>
    </xf>
    <xf numFmtId="0" fontId="0" fillId="0" borderId="10" xfId="0" applyBorder="1" applyAlignment="1" applyProtection="1">
      <alignment horizontal="left"/>
      <protection locked="0"/>
    </xf>
  </cellXfs>
  <cellStyles count="4">
    <cellStyle name="Hyperlink" xfId="1" builtinId="8"/>
    <cellStyle name="Input" xfId="2" builtinId="20"/>
    <cellStyle name="Normal" xfId="0" builtinId="0"/>
    <cellStyle name="Normal 2" xfId="3" xr:uid="{F33634B4-0FCC-4FE2-9944-43CC71010CB5}"/>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connections" Target="connections.xml"/><Relationship Id="rId18"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theme" Target="theme/theme1.xml"/><Relationship Id="rId17" Type="http://schemas.microsoft.com/office/2017/10/relationships/person" Target="persons/person.xml"/><Relationship Id="rId2" Type="http://schemas.openxmlformats.org/officeDocument/2006/relationships/worksheet" Target="worksheets/sheet2.xml"/><Relationship Id="rId16" Type="http://schemas.openxmlformats.org/officeDocument/2006/relationships/sheetMetadata" Target="metadata.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haredStrings" Target="sharedStrings.xml"/><Relationship Id="rId10" Type="http://schemas.openxmlformats.org/officeDocument/2006/relationships/worksheet" Target="worksheets/sheet10.xml"/><Relationship Id="rId19" Type="http://schemas.openxmlformats.org/officeDocument/2006/relationships/customXml" Target="../customXml/item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scatterChart>
        <c:scatterStyle val="smoothMarker"/>
        <c:varyColors val="0"/>
        <c:ser>
          <c:idx val="0"/>
          <c:order val="0"/>
          <c:tx>
            <c:v>0degrees&gt;0.1mm</c:v>
          </c:tx>
          <c:spPr>
            <a:ln w="19050" cap="rnd">
              <a:solidFill>
                <a:schemeClr val="accent1"/>
              </a:solidFill>
              <a:round/>
            </a:ln>
            <a:effectLst/>
          </c:spPr>
          <c:marker>
            <c:symbol val="none"/>
          </c:marker>
          <c:trendline>
            <c:spPr>
              <a:ln w="19050" cap="rnd">
                <a:solidFill>
                  <a:schemeClr val="accent1"/>
                </a:solidFill>
                <a:prstDash val="sysDot"/>
              </a:ln>
              <a:effectLst/>
            </c:spPr>
            <c:trendlineType val="poly"/>
            <c:order val="4"/>
            <c:dispRSqr val="1"/>
            <c:dispEq val="1"/>
            <c:trendlineLbl>
              <c:layout>
                <c:manualLayout>
                  <c:x val="3.8004344744069052E-2"/>
                  <c:y val="0.4275779446289899"/>
                </c:manualLayout>
              </c:layout>
              <c:numFmt formatCode="General" sourceLinked="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rendlineLbl>
          </c:trendline>
          <c:xVal>
            <c:numRef>
              <c:f>Contraction!$AE$52:$AE$59</c:f>
              <c:numCache>
                <c:formatCode>General</c:formatCode>
                <c:ptCount val="8"/>
                <c:pt idx="0">
                  <c:v>0.1</c:v>
                </c:pt>
                <c:pt idx="1">
                  <c:v>0.21</c:v>
                </c:pt>
                <c:pt idx="2">
                  <c:v>0.63</c:v>
                </c:pt>
                <c:pt idx="3">
                  <c:v>0.89</c:v>
                </c:pt>
                <c:pt idx="4">
                  <c:v>2.2000000000000002</c:v>
                </c:pt>
                <c:pt idx="5">
                  <c:v>4.5</c:v>
                </c:pt>
                <c:pt idx="6">
                  <c:v>7.8</c:v>
                </c:pt>
              </c:numCache>
            </c:numRef>
          </c:xVal>
          <c:yVal>
            <c:numRef>
              <c:f>Contraction!$AF$52:$AF$59</c:f>
              <c:numCache>
                <c:formatCode>General</c:formatCode>
                <c:ptCount val="8"/>
                <c:pt idx="0">
                  <c:v>6.0000000000000001E-3</c:v>
                </c:pt>
                <c:pt idx="1">
                  <c:v>0.02</c:v>
                </c:pt>
                <c:pt idx="2">
                  <c:v>7.0000000000000007E-2</c:v>
                </c:pt>
                <c:pt idx="3">
                  <c:v>0.1</c:v>
                </c:pt>
                <c:pt idx="4">
                  <c:v>0.2</c:v>
                </c:pt>
                <c:pt idx="5">
                  <c:v>0.3</c:v>
                </c:pt>
                <c:pt idx="6">
                  <c:v>0.4</c:v>
                </c:pt>
              </c:numCache>
            </c:numRef>
          </c:yVal>
          <c:smooth val="1"/>
          <c:extLst>
            <c:ext xmlns:c16="http://schemas.microsoft.com/office/drawing/2014/chart" uri="{C3380CC4-5D6E-409C-BE32-E72D297353CC}">
              <c16:uniqueId val="{00000000-7A97-4314-9671-6D6361C2ABF5}"/>
            </c:ext>
          </c:extLst>
        </c:ser>
        <c:ser>
          <c:idx val="2"/>
          <c:order val="1"/>
          <c:tx>
            <c:v>0degrees&lt;0.1mm</c:v>
          </c:tx>
          <c:spPr>
            <a:ln w="19050" cap="rnd">
              <a:solidFill>
                <a:schemeClr val="accent3"/>
              </a:solidFill>
              <a:round/>
            </a:ln>
            <a:effectLst/>
          </c:spPr>
          <c:marker>
            <c:symbol val="none"/>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trendline>
            <c:spPr>
              <a:ln w="19050" cap="rnd">
                <a:solidFill>
                  <a:schemeClr val="accent3"/>
                </a:solidFill>
                <a:prstDash val="sysDot"/>
              </a:ln>
              <a:effectLst/>
            </c:spPr>
            <c:trendlineType val="power"/>
            <c:dispRSqr val="1"/>
            <c:dispEq val="1"/>
            <c:trendlineLbl>
              <c:layout>
                <c:manualLayout>
                  <c:x val="0.12902371426956444"/>
                  <c:y val="0.13232289389495974"/>
                </c:manualLayout>
              </c:layout>
              <c:numFmt formatCode="General" sourceLinked="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rendlineLbl>
          </c:trendline>
          <c:xVal>
            <c:numRef>
              <c:f>Contraction!$AE$51:$AE$52</c:f>
              <c:numCache>
                <c:formatCode>General</c:formatCode>
                <c:ptCount val="2"/>
                <c:pt idx="0">
                  <c:v>3.9E-2</c:v>
                </c:pt>
                <c:pt idx="1">
                  <c:v>0.1</c:v>
                </c:pt>
              </c:numCache>
            </c:numRef>
          </c:xVal>
          <c:yVal>
            <c:numRef>
              <c:f>Contraction!$AF$51:$AF$52</c:f>
              <c:numCache>
                <c:formatCode>General</c:formatCode>
                <c:ptCount val="2"/>
                <c:pt idx="0">
                  <c:v>1E-3</c:v>
                </c:pt>
                <c:pt idx="1">
                  <c:v>6.0000000000000001E-3</c:v>
                </c:pt>
              </c:numCache>
            </c:numRef>
          </c:yVal>
          <c:smooth val="1"/>
          <c:extLst>
            <c:ext xmlns:c16="http://schemas.microsoft.com/office/drawing/2014/chart" uri="{C3380CC4-5D6E-409C-BE32-E72D297353CC}">
              <c16:uniqueId val="{00000002-46F8-45F5-A2A4-27028F65334A}"/>
            </c:ext>
          </c:extLst>
        </c:ser>
        <c:ser>
          <c:idx val="1"/>
          <c:order val="2"/>
          <c:tx>
            <c:v>20degrees&gt;0.1mm</c:v>
          </c:tx>
          <c:spPr>
            <a:ln w="19050" cap="rnd">
              <a:solidFill>
                <a:schemeClr val="accent2"/>
              </a:solidFill>
              <a:round/>
            </a:ln>
            <a:effectLst/>
          </c:spPr>
          <c:marker>
            <c:symbol val="none"/>
          </c:marker>
          <c:trendline>
            <c:spPr>
              <a:ln w="19050" cap="rnd">
                <a:solidFill>
                  <a:schemeClr val="accent2"/>
                </a:solidFill>
                <a:prstDash val="sysDot"/>
              </a:ln>
              <a:effectLst/>
            </c:spPr>
            <c:trendlineType val="poly"/>
            <c:order val="4"/>
            <c:dispRSqr val="1"/>
            <c:dispEq val="1"/>
            <c:trendlineLbl>
              <c:layout>
                <c:manualLayout>
                  <c:x val="-0.39131750497854034"/>
                  <c:y val="0.24124658492042284"/>
                </c:manualLayout>
              </c:layout>
              <c:numFmt formatCode="General" sourceLinked="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rendlineLbl>
          </c:trendline>
          <c:xVal>
            <c:numRef>
              <c:f>Contraction!$AH$53:$AH$61</c:f>
              <c:numCache>
                <c:formatCode>General</c:formatCode>
                <c:ptCount val="9"/>
                <c:pt idx="0">
                  <c:v>0.1</c:v>
                </c:pt>
                <c:pt idx="1">
                  <c:v>0.2</c:v>
                </c:pt>
                <c:pt idx="2">
                  <c:v>0.3</c:v>
                </c:pt>
                <c:pt idx="3">
                  <c:v>0.4</c:v>
                </c:pt>
                <c:pt idx="4">
                  <c:v>0.7</c:v>
                </c:pt>
                <c:pt idx="5">
                  <c:v>1</c:v>
                </c:pt>
                <c:pt idx="6">
                  <c:v>2</c:v>
                </c:pt>
                <c:pt idx="7">
                  <c:v>4</c:v>
                </c:pt>
                <c:pt idx="8">
                  <c:v>7.8</c:v>
                </c:pt>
              </c:numCache>
            </c:numRef>
          </c:xVal>
          <c:yVal>
            <c:numRef>
              <c:f>Contraction!$AI$53:$AI$61</c:f>
              <c:numCache>
                <c:formatCode>General</c:formatCode>
                <c:ptCount val="9"/>
                <c:pt idx="0">
                  <c:v>9.4999999999999998E-3</c:v>
                </c:pt>
                <c:pt idx="1">
                  <c:v>2.5000000000000001E-2</c:v>
                </c:pt>
                <c:pt idx="2">
                  <c:v>4.2000000000000003E-2</c:v>
                </c:pt>
                <c:pt idx="3">
                  <c:v>5.8000000000000003E-2</c:v>
                </c:pt>
                <c:pt idx="4">
                  <c:v>9.9000000000000005E-2</c:v>
                </c:pt>
                <c:pt idx="5">
                  <c:v>0.13</c:v>
                </c:pt>
                <c:pt idx="6">
                  <c:v>0.20799999999999999</c:v>
                </c:pt>
                <c:pt idx="7">
                  <c:v>0.3</c:v>
                </c:pt>
                <c:pt idx="8">
                  <c:v>0.4</c:v>
                </c:pt>
              </c:numCache>
            </c:numRef>
          </c:yVal>
          <c:smooth val="1"/>
          <c:extLst>
            <c:ext xmlns:c16="http://schemas.microsoft.com/office/drawing/2014/chart" uri="{C3380CC4-5D6E-409C-BE32-E72D297353CC}">
              <c16:uniqueId val="{00000002-7A97-4314-9671-6D6361C2ABF5}"/>
            </c:ext>
          </c:extLst>
        </c:ser>
        <c:ser>
          <c:idx val="3"/>
          <c:order val="3"/>
          <c:tx>
            <c:v>20degrees&gt;0.1mm</c:v>
          </c:tx>
          <c:spPr>
            <a:ln w="19050" cap="rnd">
              <a:solidFill>
                <a:schemeClr val="accent4"/>
              </a:solidFill>
              <a:round/>
            </a:ln>
            <a:effectLst/>
          </c:spPr>
          <c:marker>
            <c:symbol val="none"/>
          </c:marker>
          <c:trendline>
            <c:spPr>
              <a:ln w="19050" cap="rnd">
                <a:solidFill>
                  <a:schemeClr val="accent2"/>
                </a:solidFill>
                <a:prstDash val="sysDot"/>
              </a:ln>
              <a:effectLst/>
            </c:spPr>
            <c:trendlineType val="power"/>
            <c:dispRSqr val="1"/>
            <c:dispEq val="1"/>
            <c:trendlineLbl>
              <c:layout>
                <c:manualLayout>
                  <c:x val="-4.645344669336178E-2"/>
                  <c:y val="8.330593412693621E-2"/>
                </c:manualLayout>
              </c:layout>
              <c:numFmt formatCode="General" sourceLinked="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rendlineLbl>
          </c:trendline>
          <c:xVal>
            <c:numRef>
              <c:f>Contraction!$AH$51:$AH$53</c:f>
              <c:numCache>
                <c:formatCode>General</c:formatCode>
                <c:ptCount val="3"/>
                <c:pt idx="0">
                  <c:v>0.03</c:v>
                </c:pt>
                <c:pt idx="1">
                  <c:v>7.0000000000000007E-2</c:v>
                </c:pt>
                <c:pt idx="2">
                  <c:v>0.1</c:v>
                </c:pt>
              </c:numCache>
            </c:numRef>
          </c:xVal>
          <c:yVal>
            <c:numRef>
              <c:f>Contraction!$AI$51:$AI$53</c:f>
              <c:numCache>
                <c:formatCode>General</c:formatCode>
                <c:ptCount val="3"/>
                <c:pt idx="0">
                  <c:v>1E-3</c:v>
                </c:pt>
                <c:pt idx="1">
                  <c:v>5.3E-3</c:v>
                </c:pt>
                <c:pt idx="2">
                  <c:v>9.4999999999999998E-3</c:v>
                </c:pt>
              </c:numCache>
            </c:numRef>
          </c:yVal>
          <c:smooth val="1"/>
          <c:extLst>
            <c:ext xmlns:c16="http://schemas.microsoft.com/office/drawing/2014/chart" uri="{C3380CC4-5D6E-409C-BE32-E72D297353CC}">
              <c16:uniqueId val="{00000003-46F8-45F5-A2A4-27028F65334A}"/>
            </c:ext>
          </c:extLst>
        </c:ser>
        <c:dLbls>
          <c:showLegendKey val="0"/>
          <c:showVal val="0"/>
          <c:showCatName val="0"/>
          <c:showSerName val="0"/>
          <c:showPercent val="0"/>
          <c:showBubbleSize val="0"/>
        </c:dLbls>
        <c:axId val="1127707440"/>
        <c:axId val="1127708096"/>
      </c:scatterChart>
      <c:valAx>
        <c:axId val="1127707440"/>
        <c:scaling>
          <c:logBase val="10"/>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27708096"/>
        <c:crossesAt val="1.0000000000000002E-2"/>
        <c:crossBetween val="midCat"/>
      </c:valAx>
      <c:valAx>
        <c:axId val="1127708096"/>
        <c:scaling>
          <c:logBase val="10"/>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27707440"/>
        <c:crossesAt val="1.0000000000000002E-3"/>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image" Target="../media/image1.jpeg"/></Relationships>
</file>

<file path=xl/drawings/_rels/drawing2.xml.rels><?xml version="1.0" encoding="UTF-8" standalone="yes"?>
<Relationships xmlns="http://schemas.openxmlformats.org/package/2006/relationships"><Relationship Id="rId2" Type="http://schemas.openxmlformats.org/officeDocument/2006/relationships/image" Target="../media/image3.emf"/><Relationship Id="rId1" Type="http://schemas.openxmlformats.org/officeDocument/2006/relationships/image" Target="../media/image1.jpeg"/></Relationships>
</file>

<file path=xl/drawings/_rels/drawing3.xml.rels><?xml version="1.0" encoding="UTF-8" standalone="yes"?>
<Relationships xmlns="http://schemas.openxmlformats.org/package/2006/relationships"><Relationship Id="rId8" Type="http://schemas.openxmlformats.org/officeDocument/2006/relationships/image" Target="../media/image11.png"/><Relationship Id="rId13" Type="http://schemas.openxmlformats.org/officeDocument/2006/relationships/image" Target="../media/image16.png"/><Relationship Id="rId3" Type="http://schemas.openxmlformats.org/officeDocument/2006/relationships/image" Target="../media/image6.png"/><Relationship Id="rId7" Type="http://schemas.openxmlformats.org/officeDocument/2006/relationships/image" Target="../media/image10.png"/><Relationship Id="rId12" Type="http://schemas.openxmlformats.org/officeDocument/2006/relationships/image" Target="../media/image15.png"/><Relationship Id="rId2" Type="http://schemas.openxmlformats.org/officeDocument/2006/relationships/image" Target="../media/image5.png"/><Relationship Id="rId1" Type="http://schemas.openxmlformats.org/officeDocument/2006/relationships/image" Target="../media/image4.png"/><Relationship Id="rId6" Type="http://schemas.openxmlformats.org/officeDocument/2006/relationships/image" Target="../media/image9.png"/><Relationship Id="rId11" Type="http://schemas.openxmlformats.org/officeDocument/2006/relationships/image" Target="../media/image14.png"/><Relationship Id="rId5" Type="http://schemas.openxmlformats.org/officeDocument/2006/relationships/image" Target="../media/image8.png"/><Relationship Id="rId10" Type="http://schemas.openxmlformats.org/officeDocument/2006/relationships/image" Target="../media/image13.png"/><Relationship Id="rId4" Type="http://schemas.openxmlformats.org/officeDocument/2006/relationships/image" Target="../media/image7.png"/><Relationship Id="rId9" Type="http://schemas.openxmlformats.org/officeDocument/2006/relationships/image" Target="../media/image12.png"/><Relationship Id="rId14" Type="http://schemas.openxmlformats.org/officeDocument/2006/relationships/image" Target="../media/image17.png"/></Relationships>
</file>

<file path=xl/drawings/_rels/drawing4.xml.rels><?xml version="1.0" encoding="UTF-8" standalone="yes"?>
<Relationships xmlns="http://schemas.openxmlformats.org/package/2006/relationships"><Relationship Id="rId1" Type="http://schemas.openxmlformats.org/officeDocument/2006/relationships/image" Target="../media/image1.jpeg"/></Relationships>
</file>

<file path=xl/drawings/_rels/drawing5.xml.rels><?xml version="1.0" encoding="UTF-8" standalone="yes"?>
<Relationships xmlns="http://schemas.openxmlformats.org/package/2006/relationships"><Relationship Id="rId8" Type="http://schemas.openxmlformats.org/officeDocument/2006/relationships/image" Target="../media/image24.png"/><Relationship Id="rId3" Type="http://schemas.openxmlformats.org/officeDocument/2006/relationships/image" Target="../media/image20.png"/><Relationship Id="rId7" Type="http://schemas.openxmlformats.org/officeDocument/2006/relationships/image" Target="../media/image23.png"/><Relationship Id="rId2" Type="http://schemas.openxmlformats.org/officeDocument/2006/relationships/image" Target="../media/image19.png"/><Relationship Id="rId1" Type="http://schemas.openxmlformats.org/officeDocument/2006/relationships/image" Target="../media/image18.png"/><Relationship Id="rId6" Type="http://schemas.openxmlformats.org/officeDocument/2006/relationships/chart" Target="../charts/chart1.xml"/><Relationship Id="rId5" Type="http://schemas.openxmlformats.org/officeDocument/2006/relationships/image" Target="../media/image22.png"/><Relationship Id="rId4" Type="http://schemas.openxmlformats.org/officeDocument/2006/relationships/image" Target="../media/image21.png"/><Relationship Id="rId9" Type="http://schemas.openxmlformats.org/officeDocument/2006/relationships/image" Target="../media/image25.png"/></Relationships>
</file>

<file path=xl/drawings/_rels/drawing6.xml.rels><?xml version="1.0" encoding="UTF-8" standalone="yes"?>
<Relationships xmlns="http://schemas.openxmlformats.org/package/2006/relationships"><Relationship Id="rId8" Type="http://schemas.openxmlformats.org/officeDocument/2006/relationships/image" Target="../media/image33.png"/><Relationship Id="rId3" Type="http://schemas.openxmlformats.org/officeDocument/2006/relationships/image" Target="../media/image28.png"/><Relationship Id="rId7" Type="http://schemas.openxmlformats.org/officeDocument/2006/relationships/image" Target="../media/image32.png"/><Relationship Id="rId12" Type="http://schemas.openxmlformats.org/officeDocument/2006/relationships/image" Target="../media/image37.png"/><Relationship Id="rId2" Type="http://schemas.openxmlformats.org/officeDocument/2006/relationships/image" Target="../media/image27.png"/><Relationship Id="rId1" Type="http://schemas.openxmlformats.org/officeDocument/2006/relationships/image" Target="../media/image26.png"/><Relationship Id="rId6" Type="http://schemas.openxmlformats.org/officeDocument/2006/relationships/image" Target="../media/image31.png"/><Relationship Id="rId11" Type="http://schemas.openxmlformats.org/officeDocument/2006/relationships/image" Target="../media/image36.png"/><Relationship Id="rId5" Type="http://schemas.openxmlformats.org/officeDocument/2006/relationships/image" Target="../media/image30.png"/><Relationship Id="rId10" Type="http://schemas.openxmlformats.org/officeDocument/2006/relationships/image" Target="../media/image35.png"/><Relationship Id="rId4" Type="http://schemas.openxmlformats.org/officeDocument/2006/relationships/image" Target="../media/image29.png"/><Relationship Id="rId9" Type="http://schemas.openxmlformats.org/officeDocument/2006/relationships/image" Target="../media/image34.png"/></Relationships>
</file>

<file path=xl/drawings/_rels/drawing7.xml.rels><?xml version="1.0" encoding="UTF-8" standalone="yes"?>
<Relationships xmlns="http://schemas.openxmlformats.org/package/2006/relationships"><Relationship Id="rId8" Type="http://schemas.openxmlformats.org/officeDocument/2006/relationships/image" Target="../media/image45.png"/><Relationship Id="rId3" Type="http://schemas.openxmlformats.org/officeDocument/2006/relationships/image" Target="../media/image40.png"/><Relationship Id="rId7" Type="http://schemas.openxmlformats.org/officeDocument/2006/relationships/image" Target="../media/image44.png"/><Relationship Id="rId12" Type="http://schemas.openxmlformats.org/officeDocument/2006/relationships/image" Target="../media/image49.png"/><Relationship Id="rId2" Type="http://schemas.openxmlformats.org/officeDocument/2006/relationships/image" Target="../media/image39.png"/><Relationship Id="rId1" Type="http://schemas.openxmlformats.org/officeDocument/2006/relationships/image" Target="../media/image38.png"/><Relationship Id="rId6" Type="http://schemas.openxmlformats.org/officeDocument/2006/relationships/image" Target="../media/image43.png"/><Relationship Id="rId11" Type="http://schemas.openxmlformats.org/officeDocument/2006/relationships/image" Target="../media/image48.png"/><Relationship Id="rId5" Type="http://schemas.openxmlformats.org/officeDocument/2006/relationships/image" Target="../media/image42.png"/><Relationship Id="rId10" Type="http://schemas.openxmlformats.org/officeDocument/2006/relationships/image" Target="../media/image47.png"/><Relationship Id="rId4" Type="http://schemas.openxmlformats.org/officeDocument/2006/relationships/image" Target="../media/image41.png"/><Relationship Id="rId9" Type="http://schemas.openxmlformats.org/officeDocument/2006/relationships/image" Target="../media/image46.png"/></Relationships>
</file>

<file path=xl/drawings/_rels/drawing8.xml.rels><?xml version="1.0" encoding="UTF-8" standalone="yes"?>
<Relationships xmlns="http://schemas.openxmlformats.org/package/2006/relationships"><Relationship Id="rId3" Type="http://schemas.openxmlformats.org/officeDocument/2006/relationships/image" Target="../media/image1.jpeg"/><Relationship Id="rId2" Type="http://schemas.openxmlformats.org/officeDocument/2006/relationships/image" Target="../media/image51.emf"/><Relationship Id="rId1" Type="http://schemas.openxmlformats.org/officeDocument/2006/relationships/image" Target="../media/image50.emf"/></Relationships>
</file>

<file path=xl/drawings/_rels/drawing9.xml.rels><?xml version="1.0" encoding="UTF-8" standalone="yes"?>
<Relationships xmlns="http://schemas.openxmlformats.org/package/2006/relationships"><Relationship Id="rId8" Type="http://schemas.openxmlformats.org/officeDocument/2006/relationships/image" Target="../media/image61.png"/><Relationship Id="rId13" Type="http://schemas.openxmlformats.org/officeDocument/2006/relationships/image" Target="../media/image66.png"/><Relationship Id="rId3" Type="http://schemas.openxmlformats.org/officeDocument/2006/relationships/image" Target="../media/image56.png"/><Relationship Id="rId7" Type="http://schemas.openxmlformats.org/officeDocument/2006/relationships/image" Target="../media/image60.png"/><Relationship Id="rId12" Type="http://schemas.openxmlformats.org/officeDocument/2006/relationships/image" Target="../media/image65.png"/><Relationship Id="rId2" Type="http://schemas.openxmlformats.org/officeDocument/2006/relationships/image" Target="../media/image55.png"/><Relationship Id="rId16" Type="http://schemas.openxmlformats.org/officeDocument/2006/relationships/image" Target="../media/image69.png"/><Relationship Id="rId1" Type="http://schemas.openxmlformats.org/officeDocument/2006/relationships/image" Target="../media/image54.png"/><Relationship Id="rId6" Type="http://schemas.openxmlformats.org/officeDocument/2006/relationships/image" Target="../media/image59.png"/><Relationship Id="rId11" Type="http://schemas.openxmlformats.org/officeDocument/2006/relationships/image" Target="../media/image64.png"/><Relationship Id="rId5" Type="http://schemas.openxmlformats.org/officeDocument/2006/relationships/image" Target="../media/image58.png"/><Relationship Id="rId15" Type="http://schemas.openxmlformats.org/officeDocument/2006/relationships/image" Target="../media/image68.png"/><Relationship Id="rId10" Type="http://schemas.openxmlformats.org/officeDocument/2006/relationships/image" Target="../media/image63.png"/><Relationship Id="rId4" Type="http://schemas.openxmlformats.org/officeDocument/2006/relationships/image" Target="../media/image57.png"/><Relationship Id="rId9" Type="http://schemas.openxmlformats.org/officeDocument/2006/relationships/image" Target="../media/image62.png"/><Relationship Id="rId14" Type="http://schemas.openxmlformats.org/officeDocument/2006/relationships/image" Target="../media/image67.png"/></Relationships>
</file>

<file path=xl/drawings/_rels/drawing10.xml.rels><?xml version="1.0" encoding="UTF-8" standalone="yes"?>
<Relationships xmlns="http://schemas.openxmlformats.org/package/2006/relationships"><Relationship Id="rId1" Type="http://schemas.openxmlformats.org/officeDocument/2006/relationships/image" Target="../media/image1.jpeg"/></Relationships>
</file>

<file path=xl/drawings/_rels/drawing11.xml.rels><?xml version="1.0" encoding="UTF-8" standalone="yes"?>
<Relationships xmlns="http://schemas.openxmlformats.org/package/2006/relationships"><Relationship Id="rId8" Type="http://schemas.openxmlformats.org/officeDocument/2006/relationships/image" Target="../media/image77.png"/><Relationship Id="rId13" Type="http://schemas.openxmlformats.org/officeDocument/2006/relationships/image" Target="../media/image82.png"/><Relationship Id="rId18" Type="http://schemas.openxmlformats.org/officeDocument/2006/relationships/image" Target="../media/image87.png"/><Relationship Id="rId3" Type="http://schemas.openxmlformats.org/officeDocument/2006/relationships/image" Target="../media/image72.png"/><Relationship Id="rId7" Type="http://schemas.openxmlformats.org/officeDocument/2006/relationships/image" Target="../media/image76.png"/><Relationship Id="rId12" Type="http://schemas.openxmlformats.org/officeDocument/2006/relationships/image" Target="../media/image81.png"/><Relationship Id="rId17" Type="http://schemas.openxmlformats.org/officeDocument/2006/relationships/image" Target="../media/image86.png"/><Relationship Id="rId2" Type="http://schemas.openxmlformats.org/officeDocument/2006/relationships/image" Target="../media/image71.png"/><Relationship Id="rId16" Type="http://schemas.openxmlformats.org/officeDocument/2006/relationships/image" Target="../media/image85.png"/><Relationship Id="rId1" Type="http://schemas.openxmlformats.org/officeDocument/2006/relationships/image" Target="../media/image70.png"/><Relationship Id="rId6" Type="http://schemas.openxmlformats.org/officeDocument/2006/relationships/image" Target="../media/image75.png"/><Relationship Id="rId11" Type="http://schemas.openxmlformats.org/officeDocument/2006/relationships/image" Target="../media/image80.png"/><Relationship Id="rId5" Type="http://schemas.openxmlformats.org/officeDocument/2006/relationships/image" Target="../media/image74.png"/><Relationship Id="rId15" Type="http://schemas.openxmlformats.org/officeDocument/2006/relationships/image" Target="../media/image84.png"/><Relationship Id="rId10" Type="http://schemas.openxmlformats.org/officeDocument/2006/relationships/image" Target="../media/image79.png"/><Relationship Id="rId4" Type="http://schemas.openxmlformats.org/officeDocument/2006/relationships/image" Target="../media/image73.png"/><Relationship Id="rId9" Type="http://schemas.openxmlformats.org/officeDocument/2006/relationships/image" Target="../media/image78.png"/><Relationship Id="rId14" Type="http://schemas.openxmlformats.org/officeDocument/2006/relationships/image" Target="../media/image83.png"/></Relationships>
</file>

<file path=xl/drawings/_rels/vmlDrawing1.vml.rels><?xml version="1.0" encoding="UTF-8" standalone="yes"?>
<Relationships xmlns="http://schemas.openxmlformats.org/package/2006/relationships"><Relationship Id="rId1" Type="http://schemas.openxmlformats.org/officeDocument/2006/relationships/image" Target="../media/image2.emf"/></Relationships>
</file>

<file path=xl/drawings/_rels/vmlDrawing2.vml.rels><?xml version="1.0" encoding="UTF-8" standalone="yes"?>
<Relationships xmlns="http://schemas.openxmlformats.org/package/2006/relationships"><Relationship Id="rId1" Type="http://schemas.openxmlformats.org/officeDocument/2006/relationships/image" Target="../media/image2.emf"/></Relationships>
</file>

<file path=xl/drawings/_rels/vmlDrawing3.vml.rels><?xml version="1.0" encoding="UTF-8" standalone="yes"?>
<Relationships xmlns="http://schemas.openxmlformats.org/package/2006/relationships"><Relationship Id="rId2" Type="http://schemas.openxmlformats.org/officeDocument/2006/relationships/image" Target="../media/image53.emf"/><Relationship Id="rId1" Type="http://schemas.openxmlformats.org/officeDocument/2006/relationships/image" Target="../media/image52.emf"/></Relationships>
</file>

<file path=xl/drawings/drawing1.xml><?xml version="1.0" encoding="utf-8"?>
<xdr:wsDr xmlns:xdr="http://schemas.openxmlformats.org/drawingml/2006/spreadsheetDrawing" xmlns:a="http://schemas.openxmlformats.org/drawingml/2006/main">
  <xdr:twoCellAnchor editAs="oneCell">
    <xdr:from>
      <xdr:col>11</xdr:col>
      <xdr:colOff>323888</xdr:colOff>
      <xdr:row>0</xdr:row>
      <xdr:rowOff>42005</xdr:rowOff>
    </xdr:from>
    <xdr:to>
      <xdr:col>13</xdr:col>
      <xdr:colOff>401153</xdr:colOff>
      <xdr:row>1</xdr:row>
      <xdr:rowOff>180550</xdr:rowOff>
    </xdr:to>
    <xdr:pic>
      <xdr:nvPicPr>
        <xdr:cNvPr id="3" name="Picture 2">
          <a:extLst>
            <a:ext uri="{FF2B5EF4-FFF2-40B4-BE49-F238E27FC236}">
              <a16:creationId xmlns:a16="http://schemas.microsoft.com/office/drawing/2014/main" id="{00000000-0008-0000-0000-000003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5783537" y="42005"/>
          <a:ext cx="1293222" cy="38579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2.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0</xdr:col>
          <xdr:colOff>0</xdr:colOff>
          <xdr:row>0</xdr:row>
          <xdr:rowOff>0</xdr:rowOff>
        </xdr:from>
        <xdr:to>
          <xdr:col>0</xdr:col>
          <xdr:colOff>9525</xdr:colOff>
          <xdr:row>0</xdr:row>
          <xdr:rowOff>9525</xdr:rowOff>
        </xdr:to>
        <xdr:sp macro="" textlink="">
          <xdr:nvSpPr>
            <xdr:cNvPr id="13313" name="Object 1" hidden="1">
              <a:extLst>
                <a:ext uri="{63B3BB69-23CF-44E3-9099-C40C66FF867C}">
                  <a14:compatExt spid="_x0000_s13313"/>
                </a:ext>
                <a:ext uri="{FF2B5EF4-FFF2-40B4-BE49-F238E27FC236}">
                  <a16:creationId xmlns:a16="http://schemas.microsoft.com/office/drawing/2014/main" id="{00000000-0008-0000-0100-0000013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twoCellAnchor editAs="oneCell">
    <xdr:from>
      <xdr:col>8</xdr:col>
      <xdr:colOff>701968</xdr:colOff>
      <xdr:row>0</xdr:row>
      <xdr:rowOff>70436</xdr:rowOff>
    </xdr:from>
    <xdr:to>
      <xdr:col>8</xdr:col>
      <xdr:colOff>1994440</xdr:colOff>
      <xdr:row>1</xdr:row>
      <xdr:rowOff>182483</xdr:rowOff>
    </xdr:to>
    <xdr:pic>
      <xdr:nvPicPr>
        <xdr:cNvPr id="3" name="Picture 2">
          <a:extLst>
            <a:ext uri="{FF2B5EF4-FFF2-40B4-BE49-F238E27FC236}">
              <a16:creationId xmlns:a16="http://schemas.microsoft.com/office/drawing/2014/main" id="{00000000-0008-0000-0100-000003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7156556" y="70436"/>
          <a:ext cx="1292472" cy="38098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11</xdr:col>
      <xdr:colOff>43142</xdr:colOff>
      <xdr:row>5</xdr:row>
      <xdr:rowOff>70012</xdr:rowOff>
    </xdr:from>
    <xdr:to>
      <xdr:col>20</xdr:col>
      <xdr:colOff>371475</xdr:colOff>
      <xdr:row>25</xdr:row>
      <xdr:rowOff>19049</xdr:rowOff>
    </xdr:to>
    <xdr:pic>
      <xdr:nvPicPr>
        <xdr:cNvPr id="4" name="Picture 3">
          <a:extLst>
            <a:ext uri="{FF2B5EF4-FFF2-40B4-BE49-F238E27FC236}">
              <a16:creationId xmlns:a16="http://schemas.microsoft.com/office/drawing/2014/main" id="{00000000-0008-0000-0100-000004000000}"/>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9110942" y="1098712"/>
          <a:ext cx="7100608" cy="3806662"/>
        </a:xfrm>
        <a:prstGeom prst="rect">
          <a:avLst/>
        </a:prstGeom>
        <a:noFill/>
        <a:ln>
          <a:solidFill>
            <a:sysClr val="windowText" lastClr="000000"/>
          </a:solidFill>
        </a:ln>
        <a:extLst>
          <a:ext uri="{909E8E84-426E-40DD-AFC4-6F175D3DCCD1}">
            <a14:hiddenFill xmlns:a14="http://schemas.microsoft.com/office/drawing/2010/main">
              <a:solidFill>
                <a:srgbClr val="FFFFFF"/>
              </a:solidFill>
            </a14:hiddenFill>
          </a:ext>
        </a:extLst>
      </xdr:spPr>
    </xdr:pic>
    <xdr:clientData/>
  </xdr:twoCellAnchor>
  <xdr:twoCellAnchor>
    <xdr:from>
      <xdr:col>19</xdr:col>
      <xdr:colOff>9525</xdr:colOff>
      <xdr:row>7</xdr:row>
      <xdr:rowOff>57150</xdr:rowOff>
    </xdr:from>
    <xdr:to>
      <xdr:col>19</xdr:col>
      <xdr:colOff>19050</xdr:colOff>
      <xdr:row>22</xdr:row>
      <xdr:rowOff>180975</xdr:rowOff>
    </xdr:to>
    <xdr:cxnSp macro="">
      <xdr:nvCxnSpPr>
        <xdr:cNvPr id="5" name="Straight Connector 4">
          <a:extLst>
            <a:ext uri="{FF2B5EF4-FFF2-40B4-BE49-F238E27FC236}">
              <a16:creationId xmlns:a16="http://schemas.microsoft.com/office/drawing/2014/main" id="{00000000-0008-0000-0100-000005000000}"/>
            </a:ext>
          </a:extLst>
        </xdr:cNvPr>
        <xdr:cNvCxnSpPr/>
      </xdr:nvCxnSpPr>
      <xdr:spPr>
        <a:xfrm>
          <a:off x="15240000" y="1466850"/>
          <a:ext cx="9525" cy="3028950"/>
        </a:xfrm>
        <a:prstGeom prst="line">
          <a:avLst/>
        </a:prstGeom>
        <a:ln>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428625</xdr:colOff>
      <xdr:row>21</xdr:row>
      <xdr:rowOff>47625</xdr:rowOff>
    </xdr:from>
    <xdr:to>
      <xdr:col>19</xdr:col>
      <xdr:colOff>447675</xdr:colOff>
      <xdr:row>21</xdr:row>
      <xdr:rowOff>57150</xdr:rowOff>
    </xdr:to>
    <xdr:cxnSp macro="">
      <xdr:nvCxnSpPr>
        <xdr:cNvPr id="7" name="Straight Connector 6">
          <a:extLst>
            <a:ext uri="{FF2B5EF4-FFF2-40B4-BE49-F238E27FC236}">
              <a16:creationId xmlns:a16="http://schemas.microsoft.com/office/drawing/2014/main" id="{00000000-0008-0000-0100-000007000000}"/>
            </a:ext>
          </a:extLst>
        </xdr:cNvPr>
        <xdr:cNvCxnSpPr/>
      </xdr:nvCxnSpPr>
      <xdr:spPr>
        <a:xfrm>
          <a:off x="9496425" y="4171950"/>
          <a:ext cx="6181725" cy="9525"/>
        </a:xfrm>
        <a:prstGeom prst="line">
          <a:avLst/>
        </a:prstGeom>
        <a:ln>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3.xml><?xml version="1.0" encoding="utf-8"?>
<xdr:wsDr xmlns:xdr="http://schemas.openxmlformats.org/drawingml/2006/spreadsheetDrawing" xmlns:a="http://schemas.openxmlformats.org/drawingml/2006/main">
  <xdr:twoCellAnchor editAs="oneCell">
    <xdr:from>
      <xdr:col>6</xdr:col>
      <xdr:colOff>78440</xdr:colOff>
      <xdr:row>47</xdr:row>
      <xdr:rowOff>134471</xdr:rowOff>
    </xdr:from>
    <xdr:to>
      <xdr:col>15</xdr:col>
      <xdr:colOff>481853</xdr:colOff>
      <xdr:row>62</xdr:row>
      <xdr:rowOff>58304</xdr:rowOff>
    </xdr:to>
    <xdr:pic>
      <xdr:nvPicPr>
        <xdr:cNvPr id="11" name="Picture 10">
          <a:extLst>
            <a:ext uri="{FF2B5EF4-FFF2-40B4-BE49-F238E27FC236}">
              <a16:creationId xmlns:a16="http://schemas.microsoft.com/office/drawing/2014/main" id="{00000000-0008-0000-0200-00000B000000}"/>
            </a:ext>
          </a:extLst>
        </xdr:cNvPr>
        <xdr:cNvPicPr>
          <a:picLocks noChangeAspect="1"/>
        </xdr:cNvPicPr>
      </xdr:nvPicPr>
      <xdr:blipFill>
        <a:blip xmlns:r="http://schemas.openxmlformats.org/officeDocument/2006/relationships" r:embed="rId1"/>
        <a:stretch>
          <a:fillRect/>
        </a:stretch>
      </xdr:blipFill>
      <xdr:spPr>
        <a:xfrm>
          <a:off x="4213411" y="1467971"/>
          <a:ext cx="5849471" cy="2781333"/>
        </a:xfrm>
        <a:prstGeom prst="rect">
          <a:avLst/>
        </a:prstGeom>
      </xdr:spPr>
    </xdr:pic>
    <xdr:clientData/>
  </xdr:twoCellAnchor>
  <xdr:twoCellAnchor editAs="oneCell">
    <xdr:from>
      <xdr:col>6</xdr:col>
      <xdr:colOff>33618</xdr:colOff>
      <xdr:row>68</xdr:row>
      <xdr:rowOff>22411</xdr:rowOff>
    </xdr:from>
    <xdr:to>
      <xdr:col>15</xdr:col>
      <xdr:colOff>537883</xdr:colOff>
      <xdr:row>79</xdr:row>
      <xdr:rowOff>69544</xdr:rowOff>
    </xdr:to>
    <xdr:pic>
      <xdr:nvPicPr>
        <xdr:cNvPr id="13" name="Picture 12">
          <a:extLst>
            <a:ext uri="{FF2B5EF4-FFF2-40B4-BE49-F238E27FC236}">
              <a16:creationId xmlns:a16="http://schemas.microsoft.com/office/drawing/2014/main" id="{00000000-0008-0000-0200-00000D000000}"/>
            </a:ext>
          </a:extLst>
        </xdr:cNvPr>
        <xdr:cNvPicPr>
          <a:picLocks noChangeAspect="1"/>
        </xdr:cNvPicPr>
      </xdr:nvPicPr>
      <xdr:blipFill>
        <a:blip xmlns:r="http://schemas.openxmlformats.org/officeDocument/2006/relationships" r:embed="rId2"/>
        <a:stretch>
          <a:fillRect/>
        </a:stretch>
      </xdr:blipFill>
      <xdr:spPr>
        <a:xfrm>
          <a:off x="4168589" y="4975411"/>
          <a:ext cx="5950323" cy="2142633"/>
        </a:xfrm>
        <a:prstGeom prst="rect">
          <a:avLst/>
        </a:prstGeom>
      </xdr:spPr>
    </xdr:pic>
    <xdr:clientData/>
  </xdr:twoCellAnchor>
  <xdr:twoCellAnchor editAs="oneCell">
    <xdr:from>
      <xdr:col>20</xdr:col>
      <xdr:colOff>414618</xdr:colOff>
      <xdr:row>10</xdr:row>
      <xdr:rowOff>33864</xdr:rowOff>
    </xdr:from>
    <xdr:to>
      <xdr:col>31</xdr:col>
      <xdr:colOff>526677</xdr:colOff>
      <xdr:row>24</xdr:row>
      <xdr:rowOff>39616</xdr:rowOff>
    </xdr:to>
    <xdr:pic>
      <xdr:nvPicPr>
        <xdr:cNvPr id="14" name="Picture 13">
          <a:extLst>
            <a:ext uri="{FF2B5EF4-FFF2-40B4-BE49-F238E27FC236}">
              <a16:creationId xmlns:a16="http://schemas.microsoft.com/office/drawing/2014/main" id="{00000000-0008-0000-0200-00000E000000}"/>
            </a:ext>
          </a:extLst>
        </xdr:cNvPr>
        <xdr:cNvPicPr>
          <a:picLocks noChangeAspect="1"/>
        </xdr:cNvPicPr>
      </xdr:nvPicPr>
      <xdr:blipFill>
        <a:blip xmlns:r="http://schemas.openxmlformats.org/officeDocument/2006/relationships" r:embed="rId3"/>
        <a:stretch>
          <a:fillRect/>
        </a:stretch>
      </xdr:blipFill>
      <xdr:spPr>
        <a:xfrm>
          <a:off x="13776832" y="2129364"/>
          <a:ext cx="6847595" cy="2672752"/>
        </a:xfrm>
        <a:prstGeom prst="rect">
          <a:avLst/>
        </a:prstGeom>
      </xdr:spPr>
    </xdr:pic>
    <xdr:clientData/>
  </xdr:twoCellAnchor>
  <xdr:twoCellAnchor editAs="oneCell">
    <xdr:from>
      <xdr:col>6</xdr:col>
      <xdr:colOff>11205</xdr:colOff>
      <xdr:row>10</xdr:row>
      <xdr:rowOff>33618</xdr:rowOff>
    </xdr:from>
    <xdr:to>
      <xdr:col>14</xdr:col>
      <xdr:colOff>432712</xdr:colOff>
      <xdr:row>19</xdr:row>
      <xdr:rowOff>100853</xdr:rowOff>
    </xdr:to>
    <xdr:pic>
      <xdr:nvPicPr>
        <xdr:cNvPr id="16" name="Picture 15">
          <a:extLst>
            <a:ext uri="{FF2B5EF4-FFF2-40B4-BE49-F238E27FC236}">
              <a16:creationId xmlns:a16="http://schemas.microsoft.com/office/drawing/2014/main" id="{00000000-0008-0000-0200-000010000000}"/>
            </a:ext>
          </a:extLst>
        </xdr:cNvPr>
        <xdr:cNvPicPr>
          <a:picLocks noChangeAspect="1"/>
        </xdr:cNvPicPr>
      </xdr:nvPicPr>
      <xdr:blipFill>
        <a:blip xmlns:r="http://schemas.openxmlformats.org/officeDocument/2006/relationships" r:embed="rId4"/>
        <a:stretch>
          <a:fillRect/>
        </a:stretch>
      </xdr:blipFill>
      <xdr:spPr>
        <a:xfrm>
          <a:off x="4146176" y="1938618"/>
          <a:ext cx="5262448" cy="1781735"/>
        </a:xfrm>
        <a:prstGeom prst="rect">
          <a:avLst/>
        </a:prstGeom>
      </xdr:spPr>
    </xdr:pic>
    <xdr:clientData/>
  </xdr:twoCellAnchor>
  <xdr:twoCellAnchor editAs="oneCell">
    <xdr:from>
      <xdr:col>14</xdr:col>
      <xdr:colOff>425822</xdr:colOff>
      <xdr:row>10</xdr:row>
      <xdr:rowOff>44823</xdr:rowOff>
    </xdr:from>
    <xdr:to>
      <xdr:col>20</xdr:col>
      <xdr:colOff>324970</xdr:colOff>
      <xdr:row>25</xdr:row>
      <xdr:rowOff>2880</xdr:rowOff>
    </xdr:to>
    <xdr:pic>
      <xdr:nvPicPr>
        <xdr:cNvPr id="17" name="Picture 16">
          <a:extLst>
            <a:ext uri="{FF2B5EF4-FFF2-40B4-BE49-F238E27FC236}">
              <a16:creationId xmlns:a16="http://schemas.microsoft.com/office/drawing/2014/main" id="{00000000-0008-0000-0200-000011000000}"/>
            </a:ext>
          </a:extLst>
        </xdr:cNvPr>
        <xdr:cNvPicPr>
          <a:picLocks noChangeAspect="1"/>
        </xdr:cNvPicPr>
      </xdr:nvPicPr>
      <xdr:blipFill>
        <a:blip xmlns:r="http://schemas.openxmlformats.org/officeDocument/2006/relationships" r:embed="rId5"/>
        <a:stretch>
          <a:fillRect/>
        </a:stretch>
      </xdr:blipFill>
      <xdr:spPr>
        <a:xfrm>
          <a:off x="9401734" y="1949823"/>
          <a:ext cx="4168589" cy="2815557"/>
        </a:xfrm>
        <a:prstGeom prst="rect">
          <a:avLst/>
        </a:prstGeom>
      </xdr:spPr>
    </xdr:pic>
    <xdr:clientData/>
  </xdr:twoCellAnchor>
  <xdr:twoCellAnchor editAs="oneCell">
    <xdr:from>
      <xdr:col>5</xdr:col>
      <xdr:colOff>582706</xdr:colOff>
      <xdr:row>85</xdr:row>
      <xdr:rowOff>33617</xdr:rowOff>
    </xdr:from>
    <xdr:to>
      <xdr:col>15</xdr:col>
      <xdr:colOff>560294</xdr:colOff>
      <xdr:row>95</xdr:row>
      <xdr:rowOff>34415</xdr:rowOff>
    </xdr:to>
    <xdr:pic>
      <xdr:nvPicPr>
        <xdr:cNvPr id="18" name="Picture 17">
          <a:extLst>
            <a:ext uri="{FF2B5EF4-FFF2-40B4-BE49-F238E27FC236}">
              <a16:creationId xmlns:a16="http://schemas.microsoft.com/office/drawing/2014/main" id="{00000000-0008-0000-0200-000012000000}"/>
            </a:ext>
          </a:extLst>
        </xdr:cNvPr>
        <xdr:cNvPicPr>
          <a:picLocks noChangeAspect="1"/>
        </xdr:cNvPicPr>
      </xdr:nvPicPr>
      <xdr:blipFill>
        <a:blip xmlns:r="http://schemas.openxmlformats.org/officeDocument/2006/relationships" r:embed="rId6"/>
        <a:stretch>
          <a:fillRect/>
        </a:stretch>
      </xdr:blipFill>
      <xdr:spPr>
        <a:xfrm>
          <a:off x="4112559" y="12416117"/>
          <a:ext cx="6028764" cy="1905798"/>
        </a:xfrm>
        <a:prstGeom prst="rect">
          <a:avLst/>
        </a:prstGeom>
      </xdr:spPr>
    </xdr:pic>
    <xdr:clientData/>
  </xdr:twoCellAnchor>
  <xdr:twoCellAnchor editAs="oneCell">
    <xdr:from>
      <xdr:col>15</xdr:col>
      <xdr:colOff>593911</xdr:colOff>
      <xdr:row>84</xdr:row>
      <xdr:rowOff>155022</xdr:rowOff>
    </xdr:from>
    <xdr:to>
      <xdr:col>22</xdr:col>
      <xdr:colOff>559020</xdr:colOff>
      <xdr:row>102</xdr:row>
      <xdr:rowOff>168088</xdr:rowOff>
    </xdr:to>
    <xdr:pic>
      <xdr:nvPicPr>
        <xdr:cNvPr id="19" name="Picture 18">
          <a:extLst>
            <a:ext uri="{FF2B5EF4-FFF2-40B4-BE49-F238E27FC236}">
              <a16:creationId xmlns:a16="http://schemas.microsoft.com/office/drawing/2014/main" id="{00000000-0008-0000-0200-000013000000}"/>
            </a:ext>
          </a:extLst>
        </xdr:cNvPr>
        <xdr:cNvPicPr>
          <a:picLocks noChangeAspect="1"/>
        </xdr:cNvPicPr>
      </xdr:nvPicPr>
      <xdr:blipFill>
        <a:blip xmlns:r="http://schemas.openxmlformats.org/officeDocument/2006/relationships" r:embed="rId7"/>
        <a:stretch>
          <a:fillRect/>
        </a:stretch>
      </xdr:blipFill>
      <xdr:spPr>
        <a:xfrm>
          <a:off x="10174940" y="12347022"/>
          <a:ext cx="4839668" cy="3442066"/>
        </a:xfrm>
        <a:prstGeom prst="rect">
          <a:avLst/>
        </a:prstGeom>
      </xdr:spPr>
    </xdr:pic>
    <xdr:clientData/>
  </xdr:twoCellAnchor>
  <xdr:twoCellAnchor editAs="oneCell">
    <xdr:from>
      <xdr:col>6</xdr:col>
      <xdr:colOff>244928</xdr:colOff>
      <xdr:row>104</xdr:row>
      <xdr:rowOff>149679</xdr:rowOff>
    </xdr:from>
    <xdr:to>
      <xdr:col>16</xdr:col>
      <xdr:colOff>565891</xdr:colOff>
      <xdr:row>118</xdr:row>
      <xdr:rowOff>40821</xdr:rowOff>
    </xdr:to>
    <xdr:pic>
      <xdr:nvPicPr>
        <xdr:cNvPr id="23" name="Picture 22">
          <a:extLst>
            <a:ext uri="{FF2B5EF4-FFF2-40B4-BE49-F238E27FC236}">
              <a16:creationId xmlns:a16="http://schemas.microsoft.com/office/drawing/2014/main" id="{00000000-0008-0000-0200-000017000000}"/>
            </a:ext>
          </a:extLst>
        </xdr:cNvPr>
        <xdr:cNvPicPr>
          <a:picLocks noChangeAspect="1"/>
        </xdr:cNvPicPr>
      </xdr:nvPicPr>
      <xdr:blipFill rotWithShape="1">
        <a:blip xmlns:r="http://schemas.openxmlformats.org/officeDocument/2006/relationships" r:embed="rId8"/>
        <a:srcRect b="35179"/>
        <a:stretch/>
      </xdr:blipFill>
      <xdr:spPr>
        <a:xfrm>
          <a:off x="4408714" y="20152179"/>
          <a:ext cx="6444177" cy="2558142"/>
        </a:xfrm>
        <a:prstGeom prst="rect">
          <a:avLst/>
        </a:prstGeom>
      </xdr:spPr>
    </xdr:pic>
    <xdr:clientData/>
  </xdr:twoCellAnchor>
  <xdr:twoCellAnchor editAs="oneCell">
    <xdr:from>
      <xdr:col>16</xdr:col>
      <xdr:colOff>571500</xdr:colOff>
      <xdr:row>104</xdr:row>
      <xdr:rowOff>122463</xdr:rowOff>
    </xdr:from>
    <xdr:to>
      <xdr:col>26</xdr:col>
      <xdr:colOff>340178</xdr:colOff>
      <xdr:row>111</xdr:row>
      <xdr:rowOff>173437</xdr:rowOff>
    </xdr:to>
    <xdr:pic>
      <xdr:nvPicPr>
        <xdr:cNvPr id="25" name="Picture 24">
          <a:extLst>
            <a:ext uri="{FF2B5EF4-FFF2-40B4-BE49-F238E27FC236}">
              <a16:creationId xmlns:a16="http://schemas.microsoft.com/office/drawing/2014/main" id="{00000000-0008-0000-0200-000019000000}"/>
            </a:ext>
          </a:extLst>
        </xdr:cNvPr>
        <xdr:cNvPicPr>
          <a:picLocks noChangeAspect="1"/>
        </xdr:cNvPicPr>
      </xdr:nvPicPr>
      <xdr:blipFill rotWithShape="1">
        <a:blip xmlns:r="http://schemas.openxmlformats.org/officeDocument/2006/relationships" r:embed="rId8"/>
        <a:srcRect t="65315"/>
        <a:stretch/>
      </xdr:blipFill>
      <xdr:spPr>
        <a:xfrm>
          <a:off x="10858500" y="20124963"/>
          <a:ext cx="6517821" cy="1384474"/>
        </a:xfrm>
        <a:prstGeom prst="rect">
          <a:avLst/>
        </a:prstGeom>
      </xdr:spPr>
    </xdr:pic>
    <xdr:clientData/>
  </xdr:twoCellAnchor>
  <xdr:twoCellAnchor editAs="oneCell">
    <xdr:from>
      <xdr:col>6</xdr:col>
      <xdr:colOff>136071</xdr:colOff>
      <xdr:row>122</xdr:row>
      <xdr:rowOff>27213</xdr:rowOff>
    </xdr:from>
    <xdr:to>
      <xdr:col>17</xdr:col>
      <xdr:colOff>111913</xdr:colOff>
      <xdr:row>138</xdr:row>
      <xdr:rowOff>81642</xdr:rowOff>
    </xdr:to>
    <xdr:pic>
      <xdr:nvPicPr>
        <xdr:cNvPr id="26" name="Picture 25">
          <a:extLst>
            <a:ext uri="{FF2B5EF4-FFF2-40B4-BE49-F238E27FC236}">
              <a16:creationId xmlns:a16="http://schemas.microsoft.com/office/drawing/2014/main" id="{00000000-0008-0000-0200-00001A000000}"/>
            </a:ext>
          </a:extLst>
        </xdr:cNvPr>
        <xdr:cNvPicPr>
          <a:picLocks noChangeAspect="1"/>
        </xdr:cNvPicPr>
      </xdr:nvPicPr>
      <xdr:blipFill>
        <a:blip xmlns:r="http://schemas.openxmlformats.org/officeDocument/2006/relationships" r:embed="rId9"/>
        <a:stretch>
          <a:fillRect/>
        </a:stretch>
      </xdr:blipFill>
      <xdr:spPr>
        <a:xfrm>
          <a:off x="4299857" y="23458713"/>
          <a:ext cx="6711377" cy="3102429"/>
        </a:xfrm>
        <a:prstGeom prst="rect">
          <a:avLst/>
        </a:prstGeom>
      </xdr:spPr>
    </xdr:pic>
    <xdr:clientData/>
  </xdr:twoCellAnchor>
  <xdr:twoCellAnchor editAs="oneCell">
    <xdr:from>
      <xdr:col>6</xdr:col>
      <xdr:colOff>95250</xdr:colOff>
      <xdr:row>27</xdr:row>
      <xdr:rowOff>163284</xdr:rowOff>
    </xdr:from>
    <xdr:to>
      <xdr:col>15</xdr:col>
      <xdr:colOff>502560</xdr:colOff>
      <xdr:row>43</xdr:row>
      <xdr:rowOff>163285</xdr:rowOff>
    </xdr:to>
    <xdr:pic>
      <xdr:nvPicPr>
        <xdr:cNvPr id="27" name="Picture 26">
          <a:extLst>
            <a:ext uri="{FF2B5EF4-FFF2-40B4-BE49-F238E27FC236}">
              <a16:creationId xmlns:a16="http://schemas.microsoft.com/office/drawing/2014/main" id="{00000000-0008-0000-0200-00001B000000}"/>
            </a:ext>
          </a:extLst>
        </xdr:cNvPr>
        <xdr:cNvPicPr>
          <a:picLocks noChangeAspect="1"/>
        </xdr:cNvPicPr>
      </xdr:nvPicPr>
      <xdr:blipFill>
        <a:blip xmlns:r="http://schemas.openxmlformats.org/officeDocument/2006/relationships" r:embed="rId10"/>
        <a:stretch>
          <a:fillRect/>
        </a:stretch>
      </xdr:blipFill>
      <xdr:spPr>
        <a:xfrm>
          <a:off x="4259036" y="5306784"/>
          <a:ext cx="5918203" cy="3048001"/>
        </a:xfrm>
        <a:prstGeom prst="rect">
          <a:avLst/>
        </a:prstGeom>
      </xdr:spPr>
    </xdr:pic>
    <xdr:clientData/>
  </xdr:twoCellAnchor>
  <xdr:twoCellAnchor editAs="oneCell">
    <xdr:from>
      <xdr:col>6</xdr:col>
      <xdr:colOff>1</xdr:colOff>
      <xdr:row>149</xdr:row>
      <xdr:rowOff>81644</xdr:rowOff>
    </xdr:from>
    <xdr:to>
      <xdr:col>15</xdr:col>
      <xdr:colOff>539982</xdr:colOff>
      <xdr:row>155</xdr:row>
      <xdr:rowOff>95250</xdr:rowOff>
    </xdr:to>
    <xdr:pic>
      <xdr:nvPicPr>
        <xdr:cNvPr id="30" name="Picture 29">
          <a:extLst>
            <a:ext uri="{FF2B5EF4-FFF2-40B4-BE49-F238E27FC236}">
              <a16:creationId xmlns:a16="http://schemas.microsoft.com/office/drawing/2014/main" id="{00000000-0008-0000-0200-00001E000000}"/>
            </a:ext>
          </a:extLst>
        </xdr:cNvPr>
        <xdr:cNvPicPr>
          <a:picLocks noChangeAspect="1"/>
        </xdr:cNvPicPr>
      </xdr:nvPicPr>
      <xdr:blipFill>
        <a:blip xmlns:r="http://schemas.openxmlformats.org/officeDocument/2006/relationships" r:embed="rId11"/>
        <a:stretch>
          <a:fillRect/>
        </a:stretch>
      </xdr:blipFill>
      <xdr:spPr>
        <a:xfrm>
          <a:off x="4163787" y="28466144"/>
          <a:ext cx="6050874" cy="1156606"/>
        </a:xfrm>
        <a:prstGeom prst="rect">
          <a:avLst/>
        </a:prstGeom>
      </xdr:spPr>
    </xdr:pic>
    <xdr:clientData/>
  </xdr:twoCellAnchor>
  <xdr:twoCellAnchor editAs="oneCell">
    <xdr:from>
      <xdr:col>15</xdr:col>
      <xdr:colOff>122465</xdr:colOff>
      <xdr:row>142</xdr:row>
      <xdr:rowOff>40821</xdr:rowOff>
    </xdr:from>
    <xdr:to>
      <xdr:col>25</xdr:col>
      <xdr:colOff>375666</xdr:colOff>
      <xdr:row>155</xdr:row>
      <xdr:rowOff>27214</xdr:rowOff>
    </xdr:to>
    <xdr:pic>
      <xdr:nvPicPr>
        <xdr:cNvPr id="31" name="Picture 30">
          <a:extLst>
            <a:ext uri="{FF2B5EF4-FFF2-40B4-BE49-F238E27FC236}">
              <a16:creationId xmlns:a16="http://schemas.microsoft.com/office/drawing/2014/main" id="{00000000-0008-0000-0200-00001F000000}"/>
            </a:ext>
          </a:extLst>
        </xdr:cNvPr>
        <xdr:cNvPicPr>
          <a:picLocks noChangeAspect="1"/>
        </xdr:cNvPicPr>
      </xdr:nvPicPr>
      <xdr:blipFill>
        <a:blip xmlns:r="http://schemas.openxmlformats.org/officeDocument/2006/relationships" r:embed="rId12"/>
        <a:stretch>
          <a:fillRect/>
        </a:stretch>
      </xdr:blipFill>
      <xdr:spPr>
        <a:xfrm>
          <a:off x="9797144" y="27091821"/>
          <a:ext cx="7002343" cy="2462893"/>
        </a:xfrm>
        <a:prstGeom prst="rect">
          <a:avLst/>
        </a:prstGeom>
      </xdr:spPr>
    </xdr:pic>
    <xdr:clientData/>
  </xdr:twoCellAnchor>
  <xdr:twoCellAnchor editAs="oneCell">
    <xdr:from>
      <xdr:col>6</xdr:col>
      <xdr:colOff>13608</xdr:colOff>
      <xdr:row>160</xdr:row>
      <xdr:rowOff>13606</xdr:rowOff>
    </xdr:from>
    <xdr:to>
      <xdr:col>16</xdr:col>
      <xdr:colOff>143279</xdr:colOff>
      <xdr:row>175</xdr:row>
      <xdr:rowOff>27213</xdr:rowOff>
    </xdr:to>
    <xdr:pic>
      <xdr:nvPicPr>
        <xdr:cNvPr id="35" name="Picture 34">
          <a:extLst>
            <a:ext uri="{FF2B5EF4-FFF2-40B4-BE49-F238E27FC236}">
              <a16:creationId xmlns:a16="http://schemas.microsoft.com/office/drawing/2014/main" id="{00000000-0008-0000-0200-000023000000}"/>
            </a:ext>
          </a:extLst>
        </xdr:cNvPr>
        <xdr:cNvPicPr>
          <a:picLocks noChangeAspect="1"/>
        </xdr:cNvPicPr>
      </xdr:nvPicPr>
      <xdr:blipFill>
        <a:blip xmlns:r="http://schemas.openxmlformats.org/officeDocument/2006/relationships" r:embed="rId13"/>
        <a:stretch>
          <a:fillRect/>
        </a:stretch>
      </xdr:blipFill>
      <xdr:spPr>
        <a:xfrm>
          <a:off x="4177394" y="30493606"/>
          <a:ext cx="6252885" cy="2871107"/>
        </a:xfrm>
        <a:prstGeom prst="rect">
          <a:avLst/>
        </a:prstGeom>
      </xdr:spPr>
    </xdr:pic>
    <xdr:clientData/>
  </xdr:twoCellAnchor>
  <xdr:twoCellAnchor editAs="oneCell">
    <xdr:from>
      <xdr:col>5</xdr:col>
      <xdr:colOff>571501</xdr:colOff>
      <xdr:row>141</xdr:row>
      <xdr:rowOff>108856</xdr:rowOff>
    </xdr:from>
    <xdr:to>
      <xdr:col>15</xdr:col>
      <xdr:colOff>245635</xdr:colOff>
      <xdr:row>149</xdr:row>
      <xdr:rowOff>122463</xdr:rowOff>
    </xdr:to>
    <xdr:pic>
      <xdr:nvPicPr>
        <xdr:cNvPr id="36" name="Picture 35">
          <a:extLst>
            <a:ext uri="{FF2B5EF4-FFF2-40B4-BE49-F238E27FC236}">
              <a16:creationId xmlns:a16="http://schemas.microsoft.com/office/drawing/2014/main" id="{00000000-0008-0000-0200-000024000000}"/>
            </a:ext>
          </a:extLst>
        </xdr:cNvPr>
        <xdr:cNvPicPr>
          <a:picLocks noChangeAspect="1"/>
        </xdr:cNvPicPr>
      </xdr:nvPicPr>
      <xdr:blipFill>
        <a:blip xmlns:r="http://schemas.openxmlformats.org/officeDocument/2006/relationships" r:embed="rId14"/>
        <a:stretch>
          <a:fillRect/>
        </a:stretch>
      </xdr:blipFill>
      <xdr:spPr>
        <a:xfrm>
          <a:off x="4122965" y="26969356"/>
          <a:ext cx="5797349" cy="1537607"/>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0</xdr:col>
          <xdr:colOff>0</xdr:colOff>
          <xdr:row>0</xdr:row>
          <xdr:rowOff>0</xdr:rowOff>
        </xdr:from>
        <xdr:to>
          <xdr:col>0</xdr:col>
          <xdr:colOff>9525</xdr:colOff>
          <xdr:row>0</xdr:row>
          <xdr:rowOff>9525</xdr:rowOff>
        </xdr:to>
        <xdr:sp macro="" textlink="">
          <xdr:nvSpPr>
            <xdr:cNvPr id="2049" name="Object 1" hidden="1">
              <a:extLst>
                <a:ext uri="{63B3BB69-23CF-44E3-9099-C40C66FF867C}">
                  <a14:compatExt spid="_x0000_s2049"/>
                </a:ext>
                <a:ext uri="{FF2B5EF4-FFF2-40B4-BE49-F238E27FC236}">
                  <a16:creationId xmlns:a16="http://schemas.microsoft.com/office/drawing/2014/main" id="{00000000-0008-0000-0300-0000010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twoCellAnchor editAs="oneCell">
    <xdr:from>
      <xdr:col>8</xdr:col>
      <xdr:colOff>1564821</xdr:colOff>
      <xdr:row>0</xdr:row>
      <xdr:rowOff>81642</xdr:rowOff>
    </xdr:from>
    <xdr:to>
      <xdr:col>9</xdr:col>
      <xdr:colOff>851440</xdr:colOff>
      <xdr:row>2</xdr:row>
      <xdr:rowOff>3189</xdr:rowOff>
    </xdr:to>
    <xdr:pic>
      <xdr:nvPicPr>
        <xdr:cNvPr id="6" name="Picture 5">
          <a:extLst>
            <a:ext uri="{FF2B5EF4-FFF2-40B4-BE49-F238E27FC236}">
              <a16:creationId xmlns:a16="http://schemas.microsoft.com/office/drawing/2014/main" id="{00000000-0008-0000-0300-000006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8069035" y="272142"/>
          <a:ext cx="1300476" cy="38419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29</xdr:col>
      <xdr:colOff>133351</xdr:colOff>
      <xdr:row>24</xdr:row>
      <xdr:rowOff>85725</xdr:rowOff>
    </xdr:from>
    <xdr:to>
      <xdr:col>38</xdr:col>
      <xdr:colOff>485775</xdr:colOff>
      <xdr:row>50</xdr:row>
      <xdr:rowOff>180975</xdr:rowOff>
    </xdr:to>
    <xdr:pic>
      <xdr:nvPicPr>
        <xdr:cNvPr id="12" name="Picture 11">
          <a:extLst>
            <a:ext uri="{FF2B5EF4-FFF2-40B4-BE49-F238E27FC236}">
              <a16:creationId xmlns:a16="http://schemas.microsoft.com/office/drawing/2014/main" id="{00000000-0008-0000-0400-00000C000000}"/>
            </a:ext>
          </a:extLst>
        </xdr:cNvPr>
        <xdr:cNvPicPr>
          <a:picLocks noChangeAspect="1"/>
        </xdr:cNvPicPr>
      </xdr:nvPicPr>
      <xdr:blipFill>
        <a:blip xmlns:r="http://schemas.openxmlformats.org/officeDocument/2006/relationships" r:embed="rId1">
          <a:alphaModFix amt="35000"/>
        </a:blip>
        <a:stretch>
          <a:fillRect/>
        </a:stretch>
      </xdr:blipFill>
      <xdr:spPr>
        <a:xfrm rot="5400000" flipH="1">
          <a:off x="18549938" y="4071938"/>
          <a:ext cx="5048250" cy="5838824"/>
        </a:xfrm>
        <a:prstGeom prst="rect">
          <a:avLst/>
        </a:prstGeom>
      </xdr:spPr>
    </xdr:pic>
    <xdr:clientData/>
  </xdr:twoCellAnchor>
  <xdr:twoCellAnchor editAs="oneCell">
    <xdr:from>
      <xdr:col>13</xdr:col>
      <xdr:colOff>405492</xdr:colOff>
      <xdr:row>5</xdr:row>
      <xdr:rowOff>178162</xdr:rowOff>
    </xdr:from>
    <xdr:to>
      <xdr:col>22</xdr:col>
      <xdr:colOff>69396</xdr:colOff>
      <xdr:row>13</xdr:row>
      <xdr:rowOff>170313</xdr:rowOff>
    </xdr:to>
    <xdr:pic>
      <xdr:nvPicPr>
        <xdr:cNvPr id="3" name="Picture 2">
          <a:extLst>
            <a:ext uri="{FF2B5EF4-FFF2-40B4-BE49-F238E27FC236}">
              <a16:creationId xmlns:a16="http://schemas.microsoft.com/office/drawing/2014/main" id="{00000000-0008-0000-0400-000003000000}"/>
            </a:ext>
          </a:extLst>
        </xdr:cNvPr>
        <xdr:cNvPicPr>
          <a:picLocks noChangeAspect="1"/>
        </xdr:cNvPicPr>
      </xdr:nvPicPr>
      <xdr:blipFill>
        <a:blip xmlns:r="http://schemas.openxmlformats.org/officeDocument/2006/relationships" r:embed="rId2"/>
        <a:stretch>
          <a:fillRect/>
        </a:stretch>
      </xdr:blipFill>
      <xdr:spPr>
        <a:xfrm>
          <a:off x="8855528" y="1130662"/>
          <a:ext cx="5174797" cy="1516151"/>
        </a:xfrm>
        <a:prstGeom prst="rect">
          <a:avLst/>
        </a:prstGeom>
      </xdr:spPr>
    </xdr:pic>
    <xdr:clientData/>
  </xdr:twoCellAnchor>
  <xdr:twoCellAnchor editAs="oneCell">
    <xdr:from>
      <xdr:col>5</xdr:col>
      <xdr:colOff>141516</xdr:colOff>
      <xdr:row>23</xdr:row>
      <xdr:rowOff>125185</xdr:rowOff>
    </xdr:from>
    <xdr:to>
      <xdr:col>15</xdr:col>
      <xdr:colOff>266701</xdr:colOff>
      <xdr:row>52</xdr:row>
      <xdr:rowOff>133781</xdr:rowOff>
    </xdr:to>
    <xdr:pic>
      <xdr:nvPicPr>
        <xdr:cNvPr id="6" name="Picture 5">
          <a:extLst>
            <a:ext uri="{FF2B5EF4-FFF2-40B4-BE49-F238E27FC236}">
              <a16:creationId xmlns:a16="http://schemas.microsoft.com/office/drawing/2014/main" id="{00000000-0008-0000-0400-000006000000}"/>
            </a:ext>
          </a:extLst>
        </xdr:cNvPr>
        <xdr:cNvPicPr>
          <a:picLocks noChangeAspect="1"/>
        </xdr:cNvPicPr>
      </xdr:nvPicPr>
      <xdr:blipFill>
        <a:blip xmlns:r="http://schemas.openxmlformats.org/officeDocument/2006/relationships" r:embed="rId3"/>
        <a:stretch>
          <a:fillRect/>
        </a:stretch>
      </xdr:blipFill>
      <xdr:spPr>
        <a:xfrm>
          <a:off x="3692980" y="4506685"/>
          <a:ext cx="6248400" cy="5533096"/>
        </a:xfrm>
        <a:prstGeom prst="rect">
          <a:avLst/>
        </a:prstGeom>
      </xdr:spPr>
    </xdr:pic>
    <xdr:clientData/>
  </xdr:twoCellAnchor>
  <xdr:twoCellAnchor>
    <xdr:from>
      <xdr:col>15</xdr:col>
      <xdr:colOff>336164</xdr:colOff>
      <xdr:row>23</xdr:row>
      <xdr:rowOff>12672</xdr:rowOff>
    </xdr:from>
    <xdr:to>
      <xdr:col>24</xdr:col>
      <xdr:colOff>110302</xdr:colOff>
      <xdr:row>61</xdr:row>
      <xdr:rowOff>154576</xdr:rowOff>
    </xdr:to>
    <xdr:pic>
      <xdr:nvPicPr>
        <xdr:cNvPr id="9" name="Picture 8">
          <a:extLst>
            <a:ext uri="{FF2B5EF4-FFF2-40B4-BE49-F238E27FC236}">
              <a16:creationId xmlns:a16="http://schemas.microsoft.com/office/drawing/2014/main" id="{00000000-0008-0000-0400-000009000000}"/>
            </a:ext>
          </a:extLst>
        </xdr:cNvPr>
        <xdr:cNvPicPr>
          <a:picLocks noChangeAspect="1"/>
        </xdr:cNvPicPr>
      </xdr:nvPicPr>
      <xdr:blipFill>
        <a:blip xmlns:r="http://schemas.openxmlformats.org/officeDocument/2006/relationships" r:embed="rId4"/>
        <a:stretch>
          <a:fillRect/>
        </a:stretch>
      </xdr:blipFill>
      <xdr:spPr>
        <a:xfrm>
          <a:off x="10010843" y="4394172"/>
          <a:ext cx="5285030" cy="7435333"/>
        </a:xfrm>
        <a:prstGeom prst="rect">
          <a:avLst/>
        </a:prstGeom>
      </xdr:spPr>
    </xdr:pic>
    <xdr:clientData/>
  </xdr:twoCellAnchor>
  <xdr:twoCellAnchor>
    <xdr:from>
      <xdr:col>5</xdr:col>
      <xdr:colOff>188151</xdr:colOff>
      <xdr:row>53</xdr:row>
      <xdr:rowOff>8164</xdr:rowOff>
    </xdr:from>
    <xdr:to>
      <xdr:col>13</xdr:col>
      <xdr:colOff>442063</xdr:colOff>
      <xdr:row>61</xdr:row>
      <xdr:rowOff>152645</xdr:rowOff>
    </xdr:to>
    <xdr:pic>
      <xdr:nvPicPr>
        <xdr:cNvPr id="10" name="Picture 9">
          <a:extLst>
            <a:ext uri="{FF2B5EF4-FFF2-40B4-BE49-F238E27FC236}">
              <a16:creationId xmlns:a16="http://schemas.microsoft.com/office/drawing/2014/main" id="{00000000-0008-0000-0400-00000A000000}"/>
            </a:ext>
          </a:extLst>
        </xdr:cNvPr>
        <xdr:cNvPicPr>
          <a:picLocks noChangeAspect="1"/>
        </xdr:cNvPicPr>
      </xdr:nvPicPr>
      <xdr:blipFill>
        <a:blip xmlns:r="http://schemas.openxmlformats.org/officeDocument/2006/relationships" r:embed="rId5"/>
        <a:stretch>
          <a:fillRect/>
        </a:stretch>
      </xdr:blipFill>
      <xdr:spPr>
        <a:xfrm>
          <a:off x="3739615" y="10131878"/>
          <a:ext cx="5152484" cy="1695696"/>
        </a:xfrm>
        <a:prstGeom prst="rect">
          <a:avLst/>
        </a:prstGeom>
      </xdr:spPr>
    </xdr:pic>
    <xdr:clientData/>
  </xdr:twoCellAnchor>
  <xdr:twoCellAnchor>
    <xdr:from>
      <xdr:col>29</xdr:col>
      <xdr:colOff>271461</xdr:colOff>
      <xdr:row>26</xdr:row>
      <xdr:rowOff>147636</xdr:rowOff>
    </xdr:from>
    <xdr:to>
      <xdr:col>38</xdr:col>
      <xdr:colOff>333374</xdr:colOff>
      <xdr:row>48</xdr:row>
      <xdr:rowOff>114299</xdr:rowOff>
    </xdr:to>
    <xdr:graphicFrame macro="">
      <xdr:nvGraphicFramePr>
        <xdr:cNvPr id="13" name="Chart 12">
          <a:extLst>
            <a:ext uri="{FF2B5EF4-FFF2-40B4-BE49-F238E27FC236}">
              <a16:creationId xmlns:a16="http://schemas.microsoft.com/office/drawing/2014/main" id="{00000000-0008-0000-0400-00000D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editAs="oneCell">
    <xdr:from>
      <xdr:col>5</xdr:col>
      <xdr:colOff>83005</xdr:colOff>
      <xdr:row>5</xdr:row>
      <xdr:rowOff>159204</xdr:rowOff>
    </xdr:from>
    <xdr:to>
      <xdr:col>13</xdr:col>
      <xdr:colOff>323211</xdr:colOff>
      <xdr:row>20</xdr:row>
      <xdr:rowOff>149323</xdr:rowOff>
    </xdr:to>
    <xdr:pic>
      <xdr:nvPicPr>
        <xdr:cNvPr id="14" name="Picture 13">
          <a:extLst>
            <a:ext uri="{FF2B5EF4-FFF2-40B4-BE49-F238E27FC236}">
              <a16:creationId xmlns:a16="http://schemas.microsoft.com/office/drawing/2014/main" id="{00000000-0008-0000-0400-00000E000000}"/>
            </a:ext>
          </a:extLst>
        </xdr:cNvPr>
        <xdr:cNvPicPr>
          <a:picLocks noChangeAspect="1"/>
        </xdr:cNvPicPr>
      </xdr:nvPicPr>
      <xdr:blipFill>
        <a:blip xmlns:r="http://schemas.openxmlformats.org/officeDocument/2006/relationships" r:embed="rId7"/>
        <a:stretch>
          <a:fillRect/>
        </a:stretch>
      </xdr:blipFill>
      <xdr:spPr>
        <a:xfrm>
          <a:off x="3634469" y="1111704"/>
          <a:ext cx="5138778" cy="2847619"/>
        </a:xfrm>
        <a:prstGeom prst="rect">
          <a:avLst/>
        </a:prstGeom>
      </xdr:spPr>
    </xdr:pic>
    <xdr:clientData/>
  </xdr:twoCellAnchor>
  <xdr:twoCellAnchor editAs="oneCell">
    <xdr:from>
      <xdr:col>9</xdr:col>
      <xdr:colOff>503464</xdr:colOff>
      <xdr:row>63</xdr:row>
      <xdr:rowOff>108857</xdr:rowOff>
    </xdr:from>
    <xdr:to>
      <xdr:col>18</xdr:col>
      <xdr:colOff>194433</xdr:colOff>
      <xdr:row>87</xdr:row>
      <xdr:rowOff>98762</xdr:rowOff>
    </xdr:to>
    <xdr:pic>
      <xdr:nvPicPr>
        <xdr:cNvPr id="15" name="Picture 14">
          <a:extLst>
            <a:ext uri="{FF2B5EF4-FFF2-40B4-BE49-F238E27FC236}">
              <a16:creationId xmlns:a16="http://schemas.microsoft.com/office/drawing/2014/main" id="{00000000-0008-0000-0400-00000F000000}"/>
            </a:ext>
          </a:extLst>
        </xdr:cNvPr>
        <xdr:cNvPicPr>
          <a:picLocks noChangeAspect="1"/>
        </xdr:cNvPicPr>
      </xdr:nvPicPr>
      <xdr:blipFill>
        <a:blip xmlns:r="http://schemas.openxmlformats.org/officeDocument/2006/relationships" r:embed="rId8"/>
        <a:stretch>
          <a:fillRect/>
        </a:stretch>
      </xdr:blipFill>
      <xdr:spPr>
        <a:xfrm>
          <a:off x="6504214" y="12164786"/>
          <a:ext cx="5201862" cy="4561905"/>
        </a:xfrm>
        <a:prstGeom prst="rect">
          <a:avLst/>
        </a:prstGeom>
      </xdr:spPr>
    </xdr:pic>
    <xdr:clientData/>
  </xdr:twoCellAnchor>
  <xdr:twoCellAnchor editAs="oneCell">
    <xdr:from>
      <xdr:col>1</xdr:col>
      <xdr:colOff>58615</xdr:colOff>
      <xdr:row>100</xdr:row>
      <xdr:rowOff>153866</xdr:rowOff>
    </xdr:from>
    <xdr:to>
      <xdr:col>9</xdr:col>
      <xdr:colOff>525454</xdr:colOff>
      <xdr:row>116</xdr:row>
      <xdr:rowOff>48803</xdr:rowOff>
    </xdr:to>
    <xdr:pic>
      <xdr:nvPicPr>
        <xdr:cNvPr id="16" name="Picture 15">
          <a:extLst>
            <a:ext uri="{FF2B5EF4-FFF2-40B4-BE49-F238E27FC236}">
              <a16:creationId xmlns:a16="http://schemas.microsoft.com/office/drawing/2014/main" id="{00000000-0008-0000-0400-000010000000}"/>
            </a:ext>
          </a:extLst>
        </xdr:cNvPr>
        <xdr:cNvPicPr>
          <a:picLocks noChangeAspect="1"/>
        </xdr:cNvPicPr>
      </xdr:nvPicPr>
      <xdr:blipFill>
        <a:blip xmlns:r="http://schemas.openxmlformats.org/officeDocument/2006/relationships" r:embed="rId9"/>
        <a:stretch>
          <a:fillRect/>
        </a:stretch>
      </xdr:blipFill>
      <xdr:spPr>
        <a:xfrm>
          <a:off x="666750" y="18690981"/>
          <a:ext cx="5834144" cy="2942937"/>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0</xdr:col>
      <xdr:colOff>421822</xdr:colOff>
      <xdr:row>38</xdr:row>
      <xdr:rowOff>172390</xdr:rowOff>
    </xdr:from>
    <xdr:to>
      <xdr:col>8</xdr:col>
      <xdr:colOff>11056</xdr:colOff>
      <xdr:row>53</xdr:row>
      <xdr:rowOff>97229</xdr:rowOff>
    </xdr:to>
    <xdr:pic>
      <xdr:nvPicPr>
        <xdr:cNvPr id="2" name="Picture 1">
          <a:extLst>
            <a:ext uri="{FF2B5EF4-FFF2-40B4-BE49-F238E27FC236}">
              <a16:creationId xmlns:a16="http://schemas.microsoft.com/office/drawing/2014/main" id="{00000000-0008-0000-0500-000002000000}"/>
            </a:ext>
          </a:extLst>
        </xdr:cNvPr>
        <xdr:cNvPicPr>
          <a:picLocks noChangeAspect="1"/>
        </xdr:cNvPicPr>
      </xdr:nvPicPr>
      <xdr:blipFill>
        <a:blip xmlns:r="http://schemas.openxmlformats.org/officeDocument/2006/relationships" r:embed="rId1"/>
        <a:stretch>
          <a:fillRect/>
        </a:stretch>
      </xdr:blipFill>
      <xdr:spPr>
        <a:xfrm>
          <a:off x="421822" y="7411390"/>
          <a:ext cx="4487805" cy="2782339"/>
        </a:xfrm>
        <a:prstGeom prst="rect">
          <a:avLst/>
        </a:prstGeom>
      </xdr:spPr>
    </xdr:pic>
    <xdr:clientData/>
  </xdr:twoCellAnchor>
  <xdr:twoCellAnchor editAs="oneCell">
    <xdr:from>
      <xdr:col>0</xdr:col>
      <xdr:colOff>73478</xdr:colOff>
      <xdr:row>14</xdr:row>
      <xdr:rowOff>183696</xdr:rowOff>
    </xdr:from>
    <xdr:to>
      <xdr:col>8</xdr:col>
      <xdr:colOff>310965</xdr:colOff>
      <xdr:row>38</xdr:row>
      <xdr:rowOff>59315</xdr:rowOff>
    </xdr:to>
    <xdr:pic>
      <xdr:nvPicPr>
        <xdr:cNvPr id="3" name="Picture 2">
          <a:extLst>
            <a:ext uri="{FF2B5EF4-FFF2-40B4-BE49-F238E27FC236}">
              <a16:creationId xmlns:a16="http://schemas.microsoft.com/office/drawing/2014/main" id="{00000000-0008-0000-0500-000003000000}"/>
            </a:ext>
          </a:extLst>
        </xdr:cNvPr>
        <xdr:cNvPicPr>
          <a:picLocks noChangeAspect="1"/>
        </xdr:cNvPicPr>
      </xdr:nvPicPr>
      <xdr:blipFill>
        <a:blip xmlns:r="http://schemas.openxmlformats.org/officeDocument/2006/relationships" r:embed="rId2"/>
        <a:stretch>
          <a:fillRect/>
        </a:stretch>
      </xdr:blipFill>
      <xdr:spPr>
        <a:xfrm>
          <a:off x="73478" y="2850696"/>
          <a:ext cx="5136058" cy="4447619"/>
        </a:xfrm>
        <a:prstGeom prst="rect">
          <a:avLst/>
        </a:prstGeom>
      </xdr:spPr>
    </xdr:pic>
    <xdr:clientData/>
  </xdr:twoCellAnchor>
  <xdr:twoCellAnchor editAs="oneCell">
    <xdr:from>
      <xdr:col>0</xdr:col>
      <xdr:colOff>1361</xdr:colOff>
      <xdr:row>3</xdr:row>
      <xdr:rowOff>114300</xdr:rowOff>
    </xdr:from>
    <xdr:to>
      <xdr:col>8</xdr:col>
      <xdr:colOff>181705</xdr:colOff>
      <xdr:row>14</xdr:row>
      <xdr:rowOff>133086</xdr:rowOff>
    </xdr:to>
    <xdr:pic>
      <xdr:nvPicPr>
        <xdr:cNvPr id="4" name="Picture 3">
          <a:extLst>
            <a:ext uri="{FF2B5EF4-FFF2-40B4-BE49-F238E27FC236}">
              <a16:creationId xmlns:a16="http://schemas.microsoft.com/office/drawing/2014/main" id="{00000000-0008-0000-0500-000004000000}"/>
            </a:ext>
          </a:extLst>
        </xdr:cNvPr>
        <xdr:cNvPicPr>
          <a:picLocks noChangeAspect="1"/>
        </xdr:cNvPicPr>
      </xdr:nvPicPr>
      <xdr:blipFill>
        <a:blip xmlns:r="http://schemas.openxmlformats.org/officeDocument/2006/relationships" r:embed="rId3"/>
        <a:stretch>
          <a:fillRect/>
        </a:stretch>
      </xdr:blipFill>
      <xdr:spPr>
        <a:xfrm>
          <a:off x="1361" y="685800"/>
          <a:ext cx="5078915" cy="2114286"/>
        </a:xfrm>
        <a:prstGeom prst="rect">
          <a:avLst/>
        </a:prstGeom>
      </xdr:spPr>
    </xdr:pic>
    <xdr:clientData/>
  </xdr:twoCellAnchor>
  <xdr:twoCellAnchor editAs="oneCell">
    <xdr:from>
      <xdr:col>8</xdr:col>
      <xdr:colOff>612321</xdr:colOff>
      <xdr:row>4</xdr:row>
      <xdr:rowOff>54429</xdr:rowOff>
    </xdr:from>
    <xdr:to>
      <xdr:col>17</xdr:col>
      <xdr:colOff>149047</xdr:colOff>
      <xdr:row>8</xdr:row>
      <xdr:rowOff>149572</xdr:rowOff>
    </xdr:to>
    <xdr:pic>
      <xdr:nvPicPr>
        <xdr:cNvPr id="5" name="Picture 4">
          <a:extLst>
            <a:ext uri="{FF2B5EF4-FFF2-40B4-BE49-F238E27FC236}">
              <a16:creationId xmlns:a16="http://schemas.microsoft.com/office/drawing/2014/main" id="{00000000-0008-0000-0500-000005000000}"/>
            </a:ext>
          </a:extLst>
        </xdr:cNvPr>
        <xdr:cNvPicPr>
          <a:picLocks noChangeAspect="1"/>
        </xdr:cNvPicPr>
      </xdr:nvPicPr>
      <xdr:blipFill>
        <a:blip xmlns:r="http://schemas.openxmlformats.org/officeDocument/2006/relationships" r:embed="rId4"/>
        <a:stretch>
          <a:fillRect/>
        </a:stretch>
      </xdr:blipFill>
      <xdr:spPr>
        <a:xfrm>
          <a:off x="5510892" y="816429"/>
          <a:ext cx="5047619" cy="857143"/>
        </a:xfrm>
        <a:prstGeom prst="rect">
          <a:avLst/>
        </a:prstGeom>
      </xdr:spPr>
    </xdr:pic>
    <xdr:clientData/>
  </xdr:twoCellAnchor>
  <xdr:twoCellAnchor editAs="oneCell">
    <xdr:from>
      <xdr:col>8</xdr:col>
      <xdr:colOff>435429</xdr:colOff>
      <xdr:row>22</xdr:row>
      <xdr:rowOff>68035</xdr:rowOff>
    </xdr:from>
    <xdr:to>
      <xdr:col>16</xdr:col>
      <xdr:colOff>574952</xdr:colOff>
      <xdr:row>28</xdr:row>
      <xdr:rowOff>77416</xdr:rowOff>
    </xdr:to>
    <xdr:pic>
      <xdr:nvPicPr>
        <xdr:cNvPr id="6" name="Picture 5">
          <a:extLst>
            <a:ext uri="{FF2B5EF4-FFF2-40B4-BE49-F238E27FC236}">
              <a16:creationId xmlns:a16="http://schemas.microsoft.com/office/drawing/2014/main" id="{00000000-0008-0000-0500-000006000000}"/>
            </a:ext>
          </a:extLst>
        </xdr:cNvPr>
        <xdr:cNvPicPr>
          <a:picLocks noChangeAspect="1"/>
        </xdr:cNvPicPr>
      </xdr:nvPicPr>
      <xdr:blipFill>
        <a:blip xmlns:r="http://schemas.openxmlformats.org/officeDocument/2006/relationships" r:embed="rId5"/>
        <a:stretch>
          <a:fillRect/>
        </a:stretch>
      </xdr:blipFill>
      <xdr:spPr>
        <a:xfrm>
          <a:off x="5334000" y="4259035"/>
          <a:ext cx="5038095" cy="1152381"/>
        </a:xfrm>
        <a:prstGeom prst="rect">
          <a:avLst/>
        </a:prstGeom>
      </xdr:spPr>
    </xdr:pic>
    <xdr:clientData/>
  </xdr:twoCellAnchor>
  <xdr:twoCellAnchor editAs="oneCell">
    <xdr:from>
      <xdr:col>10</xdr:col>
      <xdr:colOff>108857</xdr:colOff>
      <xdr:row>9</xdr:row>
      <xdr:rowOff>30160</xdr:rowOff>
    </xdr:from>
    <xdr:to>
      <xdr:col>15</xdr:col>
      <xdr:colOff>476250</xdr:colOff>
      <xdr:row>21</xdr:row>
      <xdr:rowOff>87309</xdr:rowOff>
    </xdr:to>
    <xdr:pic>
      <xdr:nvPicPr>
        <xdr:cNvPr id="7" name="Picture 6">
          <a:extLst>
            <a:ext uri="{FF2B5EF4-FFF2-40B4-BE49-F238E27FC236}">
              <a16:creationId xmlns:a16="http://schemas.microsoft.com/office/drawing/2014/main" id="{00000000-0008-0000-0500-000007000000}"/>
            </a:ext>
          </a:extLst>
        </xdr:cNvPr>
        <xdr:cNvPicPr>
          <a:picLocks noChangeAspect="1"/>
        </xdr:cNvPicPr>
      </xdr:nvPicPr>
      <xdr:blipFill>
        <a:blip xmlns:r="http://schemas.openxmlformats.org/officeDocument/2006/relationships" r:embed="rId6"/>
        <a:stretch>
          <a:fillRect/>
        </a:stretch>
      </xdr:blipFill>
      <xdr:spPr>
        <a:xfrm>
          <a:off x="6232071" y="1744660"/>
          <a:ext cx="3429000" cy="2343149"/>
        </a:xfrm>
        <a:prstGeom prst="rect">
          <a:avLst/>
        </a:prstGeom>
      </xdr:spPr>
    </xdr:pic>
    <xdr:clientData/>
  </xdr:twoCellAnchor>
  <xdr:twoCellAnchor editAs="oneCell">
    <xdr:from>
      <xdr:col>9</xdr:col>
      <xdr:colOff>176893</xdr:colOff>
      <xdr:row>29</xdr:row>
      <xdr:rowOff>40821</xdr:rowOff>
    </xdr:from>
    <xdr:to>
      <xdr:col>16</xdr:col>
      <xdr:colOff>290643</xdr:colOff>
      <xdr:row>42</xdr:row>
      <xdr:rowOff>126226</xdr:rowOff>
    </xdr:to>
    <xdr:pic>
      <xdr:nvPicPr>
        <xdr:cNvPr id="8" name="Picture 7">
          <a:extLst>
            <a:ext uri="{FF2B5EF4-FFF2-40B4-BE49-F238E27FC236}">
              <a16:creationId xmlns:a16="http://schemas.microsoft.com/office/drawing/2014/main" id="{00000000-0008-0000-0500-000008000000}"/>
            </a:ext>
          </a:extLst>
        </xdr:cNvPr>
        <xdr:cNvPicPr>
          <a:picLocks noChangeAspect="1"/>
        </xdr:cNvPicPr>
      </xdr:nvPicPr>
      <xdr:blipFill>
        <a:blip xmlns:r="http://schemas.openxmlformats.org/officeDocument/2006/relationships" r:embed="rId7"/>
        <a:stretch>
          <a:fillRect/>
        </a:stretch>
      </xdr:blipFill>
      <xdr:spPr>
        <a:xfrm>
          <a:off x="5687786" y="5565321"/>
          <a:ext cx="4400000" cy="2561905"/>
        </a:xfrm>
        <a:prstGeom prst="rect">
          <a:avLst/>
        </a:prstGeom>
      </xdr:spPr>
    </xdr:pic>
    <xdr:clientData/>
  </xdr:twoCellAnchor>
  <xdr:twoCellAnchor editAs="oneCell">
    <xdr:from>
      <xdr:col>10</xdr:col>
      <xdr:colOff>136071</xdr:colOff>
      <xdr:row>43</xdr:row>
      <xdr:rowOff>122463</xdr:rowOff>
    </xdr:from>
    <xdr:to>
      <xdr:col>15</xdr:col>
      <xdr:colOff>579226</xdr:colOff>
      <xdr:row>48</xdr:row>
      <xdr:rowOff>84249</xdr:rowOff>
    </xdr:to>
    <xdr:pic>
      <xdr:nvPicPr>
        <xdr:cNvPr id="9" name="Picture 8">
          <a:extLst>
            <a:ext uri="{FF2B5EF4-FFF2-40B4-BE49-F238E27FC236}">
              <a16:creationId xmlns:a16="http://schemas.microsoft.com/office/drawing/2014/main" id="{00000000-0008-0000-0500-000009000000}"/>
            </a:ext>
          </a:extLst>
        </xdr:cNvPr>
        <xdr:cNvPicPr>
          <a:picLocks noChangeAspect="1"/>
        </xdr:cNvPicPr>
      </xdr:nvPicPr>
      <xdr:blipFill>
        <a:blip xmlns:r="http://schemas.openxmlformats.org/officeDocument/2006/relationships" r:embed="rId8"/>
        <a:stretch>
          <a:fillRect/>
        </a:stretch>
      </xdr:blipFill>
      <xdr:spPr>
        <a:xfrm>
          <a:off x="6259285" y="8313963"/>
          <a:ext cx="3504762" cy="914286"/>
        </a:xfrm>
        <a:prstGeom prst="rect">
          <a:avLst/>
        </a:prstGeom>
      </xdr:spPr>
    </xdr:pic>
    <xdr:clientData/>
  </xdr:twoCellAnchor>
  <xdr:twoCellAnchor editAs="oneCell">
    <xdr:from>
      <xdr:col>5</xdr:col>
      <xdr:colOff>110443</xdr:colOff>
      <xdr:row>59</xdr:row>
      <xdr:rowOff>138438</xdr:rowOff>
    </xdr:from>
    <xdr:to>
      <xdr:col>13</xdr:col>
      <xdr:colOff>573275</xdr:colOff>
      <xdr:row>82</xdr:row>
      <xdr:rowOff>26019</xdr:rowOff>
    </xdr:to>
    <xdr:pic>
      <xdr:nvPicPr>
        <xdr:cNvPr id="10" name="Picture 9">
          <a:extLst>
            <a:ext uri="{FF2B5EF4-FFF2-40B4-BE49-F238E27FC236}">
              <a16:creationId xmlns:a16="http://schemas.microsoft.com/office/drawing/2014/main" id="{00000000-0008-0000-0500-00000A000000}"/>
            </a:ext>
          </a:extLst>
        </xdr:cNvPr>
        <xdr:cNvPicPr>
          <a:picLocks noChangeAspect="1"/>
        </xdr:cNvPicPr>
      </xdr:nvPicPr>
      <xdr:blipFill>
        <a:blip xmlns:r="http://schemas.openxmlformats.org/officeDocument/2006/relationships" r:embed="rId9"/>
        <a:stretch>
          <a:fillRect/>
        </a:stretch>
      </xdr:blipFill>
      <xdr:spPr>
        <a:xfrm>
          <a:off x="3172050" y="11377938"/>
          <a:ext cx="5361404" cy="4269081"/>
        </a:xfrm>
        <a:prstGeom prst="rect">
          <a:avLst/>
        </a:prstGeom>
      </xdr:spPr>
    </xdr:pic>
    <xdr:clientData/>
  </xdr:twoCellAnchor>
  <xdr:twoCellAnchor>
    <xdr:from>
      <xdr:col>5</xdr:col>
      <xdr:colOff>76910</xdr:colOff>
      <xdr:row>94</xdr:row>
      <xdr:rowOff>122464</xdr:rowOff>
    </xdr:from>
    <xdr:to>
      <xdr:col>13</xdr:col>
      <xdr:colOff>292031</xdr:colOff>
      <xdr:row>113</xdr:row>
      <xdr:rowOff>52870</xdr:rowOff>
    </xdr:to>
    <xdr:grpSp>
      <xdr:nvGrpSpPr>
        <xdr:cNvPr id="11" name="Group 10">
          <a:extLst>
            <a:ext uri="{FF2B5EF4-FFF2-40B4-BE49-F238E27FC236}">
              <a16:creationId xmlns:a16="http://schemas.microsoft.com/office/drawing/2014/main" id="{00000000-0008-0000-0500-00000B000000}"/>
            </a:ext>
          </a:extLst>
        </xdr:cNvPr>
        <xdr:cNvGrpSpPr/>
      </xdr:nvGrpSpPr>
      <xdr:grpSpPr>
        <a:xfrm>
          <a:off x="3141475" y="18029464"/>
          <a:ext cx="5118426" cy="3549906"/>
          <a:chOff x="7395778" y="17879785"/>
          <a:chExt cx="5119018" cy="3549906"/>
        </a:xfrm>
      </xdr:grpSpPr>
      <xdr:pic>
        <xdr:nvPicPr>
          <xdr:cNvPr id="15" name="Picture 14">
            <a:extLst>
              <a:ext uri="{FF2B5EF4-FFF2-40B4-BE49-F238E27FC236}">
                <a16:creationId xmlns:a16="http://schemas.microsoft.com/office/drawing/2014/main" id="{00000000-0008-0000-0500-00000F000000}"/>
              </a:ext>
            </a:extLst>
          </xdr:cNvPr>
          <xdr:cNvPicPr>
            <a:picLocks noChangeAspect="1"/>
          </xdr:cNvPicPr>
        </xdr:nvPicPr>
        <xdr:blipFill>
          <a:blip xmlns:r="http://schemas.openxmlformats.org/officeDocument/2006/relationships" r:embed="rId10"/>
          <a:stretch>
            <a:fillRect/>
          </a:stretch>
        </xdr:blipFill>
        <xdr:spPr>
          <a:xfrm>
            <a:off x="7395778" y="17879785"/>
            <a:ext cx="5119018" cy="1904762"/>
          </a:xfrm>
          <a:prstGeom prst="rect">
            <a:avLst/>
          </a:prstGeom>
        </xdr:spPr>
      </xdr:pic>
      <xdr:pic>
        <xdr:nvPicPr>
          <xdr:cNvPr id="16" name="Picture 15">
            <a:extLst>
              <a:ext uri="{FF2B5EF4-FFF2-40B4-BE49-F238E27FC236}">
                <a16:creationId xmlns:a16="http://schemas.microsoft.com/office/drawing/2014/main" id="{00000000-0008-0000-0500-000010000000}"/>
              </a:ext>
            </a:extLst>
          </xdr:cNvPr>
          <xdr:cNvPicPr>
            <a:picLocks noChangeAspect="1"/>
          </xdr:cNvPicPr>
        </xdr:nvPicPr>
        <xdr:blipFill>
          <a:blip xmlns:r="http://schemas.openxmlformats.org/officeDocument/2006/relationships" r:embed="rId11"/>
          <a:stretch>
            <a:fillRect/>
          </a:stretch>
        </xdr:blipFill>
        <xdr:spPr>
          <a:xfrm>
            <a:off x="7409386" y="19839215"/>
            <a:ext cx="4976161" cy="1590476"/>
          </a:xfrm>
          <a:prstGeom prst="rect">
            <a:avLst/>
          </a:prstGeom>
        </xdr:spPr>
      </xdr:pic>
    </xdr:grpSp>
    <xdr:clientData/>
  </xdr:twoCellAnchor>
  <xdr:twoCellAnchor editAs="oneCell">
    <xdr:from>
      <xdr:col>17</xdr:col>
      <xdr:colOff>503464</xdr:colOff>
      <xdr:row>8</xdr:row>
      <xdr:rowOff>190499</xdr:rowOff>
    </xdr:from>
    <xdr:to>
      <xdr:col>22</xdr:col>
      <xdr:colOff>136072</xdr:colOff>
      <xdr:row>21</xdr:row>
      <xdr:rowOff>29452</xdr:rowOff>
    </xdr:to>
    <xdr:pic>
      <xdr:nvPicPr>
        <xdr:cNvPr id="17" name="Picture 16">
          <a:extLst>
            <a:ext uri="{FF2B5EF4-FFF2-40B4-BE49-F238E27FC236}">
              <a16:creationId xmlns:a16="http://schemas.microsoft.com/office/drawing/2014/main" id="{00000000-0008-0000-0500-000011000000}"/>
            </a:ext>
          </a:extLst>
        </xdr:cNvPr>
        <xdr:cNvPicPr>
          <a:picLocks noChangeAspect="1"/>
        </xdr:cNvPicPr>
      </xdr:nvPicPr>
      <xdr:blipFill>
        <a:blip xmlns:r="http://schemas.openxmlformats.org/officeDocument/2006/relationships" r:embed="rId12"/>
        <a:stretch>
          <a:fillRect/>
        </a:stretch>
      </xdr:blipFill>
      <xdr:spPr>
        <a:xfrm>
          <a:off x="10912928" y="1714499"/>
          <a:ext cx="2694215" cy="2315453"/>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0</xdr:col>
      <xdr:colOff>19050</xdr:colOff>
      <xdr:row>11</xdr:row>
      <xdr:rowOff>161925</xdr:rowOff>
    </xdr:from>
    <xdr:to>
      <xdr:col>7</xdr:col>
      <xdr:colOff>523279</xdr:colOff>
      <xdr:row>26</xdr:row>
      <xdr:rowOff>152044</xdr:rowOff>
    </xdr:to>
    <xdr:pic>
      <xdr:nvPicPr>
        <xdr:cNvPr id="2" name="Picture 1">
          <a:extLst>
            <a:ext uri="{FF2B5EF4-FFF2-40B4-BE49-F238E27FC236}">
              <a16:creationId xmlns:a16="http://schemas.microsoft.com/office/drawing/2014/main" id="{00000000-0008-0000-0600-000002000000}"/>
            </a:ext>
          </a:extLst>
        </xdr:cNvPr>
        <xdr:cNvPicPr>
          <a:picLocks noChangeAspect="1"/>
        </xdr:cNvPicPr>
      </xdr:nvPicPr>
      <xdr:blipFill>
        <a:blip xmlns:r="http://schemas.openxmlformats.org/officeDocument/2006/relationships" r:embed="rId1"/>
        <a:stretch>
          <a:fillRect/>
        </a:stretch>
      </xdr:blipFill>
      <xdr:spPr>
        <a:xfrm>
          <a:off x="19050" y="2066925"/>
          <a:ext cx="4771429" cy="2847619"/>
        </a:xfrm>
        <a:prstGeom prst="rect">
          <a:avLst/>
        </a:prstGeom>
      </xdr:spPr>
    </xdr:pic>
    <xdr:clientData/>
  </xdr:twoCellAnchor>
  <xdr:twoCellAnchor editAs="oneCell">
    <xdr:from>
      <xdr:col>0</xdr:col>
      <xdr:colOff>104775</xdr:colOff>
      <xdr:row>3</xdr:row>
      <xdr:rowOff>114300</xdr:rowOff>
    </xdr:from>
    <xdr:to>
      <xdr:col>8</xdr:col>
      <xdr:colOff>370832</xdr:colOff>
      <xdr:row>11</xdr:row>
      <xdr:rowOff>171252</xdr:rowOff>
    </xdr:to>
    <xdr:pic>
      <xdr:nvPicPr>
        <xdr:cNvPr id="3" name="Picture 2">
          <a:extLst>
            <a:ext uri="{FF2B5EF4-FFF2-40B4-BE49-F238E27FC236}">
              <a16:creationId xmlns:a16="http://schemas.microsoft.com/office/drawing/2014/main" id="{00000000-0008-0000-0600-000003000000}"/>
            </a:ext>
          </a:extLst>
        </xdr:cNvPr>
        <xdr:cNvPicPr>
          <a:picLocks noChangeAspect="1"/>
        </xdr:cNvPicPr>
      </xdr:nvPicPr>
      <xdr:blipFill>
        <a:blip xmlns:r="http://schemas.openxmlformats.org/officeDocument/2006/relationships" r:embed="rId2"/>
        <a:stretch>
          <a:fillRect/>
        </a:stretch>
      </xdr:blipFill>
      <xdr:spPr>
        <a:xfrm>
          <a:off x="104775" y="495300"/>
          <a:ext cx="5142857" cy="1580952"/>
        </a:xfrm>
        <a:prstGeom prst="rect">
          <a:avLst/>
        </a:prstGeom>
      </xdr:spPr>
    </xdr:pic>
    <xdr:clientData/>
  </xdr:twoCellAnchor>
  <xdr:twoCellAnchor editAs="oneCell">
    <xdr:from>
      <xdr:col>6</xdr:col>
      <xdr:colOff>453837</xdr:colOff>
      <xdr:row>100</xdr:row>
      <xdr:rowOff>65834</xdr:rowOff>
    </xdr:from>
    <xdr:to>
      <xdr:col>15</xdr:col>
      <xdr:colOff>150151</xdr:colOff>
      <xdr:row>121</xdr:row>
      <xdr:rowOff>160572</xdr:rowOff>
    </xdr:to>
    <xdr:pic>
      <xdr:nvPicPr>
        <xdr:cNvPr id="4" name="Picture 3">
          <a:extLst>
            <a:ext uri="{FF2B5EF4-FFF2-40B4-BE49-F238E27FC236}">
              <a16:creationId xmlns:a16="http://schemas.microsoft.com/office/drawing/2014/main" id="{00000000-0008-0000-0600-000004000000}"/>
            </a:ext>
          </a:extLst>
        </xdr:cNvPr>
        <xdr:cNvPicPr>
          <a:picLocks noChangeAspect="1"/>
        </xdr:cNvPicPr>
      </xdr:nvPicPr>
      <xdr:blipFill>
        <a:blip xmlns:r="http://schemas.openxmlformats.org/officeDocument/2006/relationships" r:embed="rId3"/>
        <a:stretch>
          <a:fillRect/>
        </a:stretch>
      </xdr:blipFill>
      <xdr:spPr>
        <a:xfrm>
          <a:off x="4084543" y="19687334"/>
          <a:ext cx="5142373" cy="4095238"/>
        </a:xfrm>
        <a:prstGeom prst="rect">
          <a:avLst/>
        </a:prstGeom>
      </xdr:spPr>
    </xdr:pic>
    <xdr:clientData/>
  </xdr:twoCellAnchor>
  <xdr:twoCellAnchor editAs="oneCell">
    <xdr:from>
      <xdr:col>24</xdr:col>
      <xdr:colOff>574302</xdr:colOff>
      <xdr:row>68</xdr:row>
      <xdr:rowOff>8204</xdr:rowOff>
    </xdr:from>
    <xdr:to>
      <xdr:col>33</xdr:col>
      <xdr:colOff>602189</xdr:colOff>
      <xdr:row>103</xdr:row>
      <xdr:rowOff>178799</xdr:rowOff>
    </xdr:to>
    <xdr:pic>
      <xdr:nvPicPr>
        <xdr:cNvPr id="5" name="Picture 4">
          <a:extLst>
            <a:ext uri="{FF2B5EF4-FFF2-40B4-BE49-F238E27FC236}">
              <a16:creationId xmlns:a16="http://schemas.microsoft.com/office/drawing/2014/main" id="{00000000-0008-0000-0600-000005000000}"/>
            </a:ext>
          </a:extLst>
        </xdr:cNvPr>
        <xdr:cNvPicPr>
          <a:picLocks noChangeAspect="1"/>
        </xdr:cNvPicPr>
      </xdr:nvPicPr>
      <xdr:blipFill>
        <a:blip xmlns:r="http://schemas.openxmlformats.org/officeDocument/2006/relationships" r:embed="rId4"/>
        <a:stretch>
          <a:fillRect/>
        </a:stretch>
      </xdr:blipFill>
      <xdr:spPr>
        <a:xfrm>
          <a:off x="15097126" y="12962204"/>
          <a:ext cx="5473945" cy="6838095"/>
        </a:xfrm>
        <a:prstGeom prst="rect">
          <a:avLst/>
        </a:prstGeom>
      </xdr:spPr>
    </xdr:pic>
    <xdr:clientData/>
  </xdr:twoCellAnchor>
  <xdr:twoCellAnchor editAs="oneCell">
    <xdr:from>
      <xdr:col>15</xdr:col>
      <xdr:colOff>81242</xdr:colOff>
      <xdr:row>100</xdr:row>
      <xdr:rowOff>24212</xdr:rowOff>
    </xdr:from>
    <xdr:to>
      <xdr:col>23</xdr:col>
      <xdr:colOff>435330</xdr:colOff>
      <xdr:row>132</xdr:row>
      <xdr:rowOff>4402</xdr:rowOff>
    </xdr:to>
    <xdr:pic>
      <xdr:nvPicPr>
        <xdr:cNvPr id="6" name="Picture 5">
          <a:extLst>
            <a:ext uri="{FF2B5EF4-FFF2-40B4-BE49-F238E27FC236}">
              <a16:creationId xmlns:a16="http://schemas.microsoft.com/office/drawing/2014/main" id="{00000000-0008-0000-0600-000006000000}"/>
            </a:ext>
          </a:extLst>
        </xdr:cNvPr>
        <xdr:cNvPicPr>
          <a:picLocks noChangeAspect="1"/>
        </xdr:cNvPicPr>
      </xdr:nvPicPr>
      <xdr:blipFill>
        <a:blip xmlns:r="http://schemas.openxmlformats.org/officeDocument/2006/relationships" r:embed="rId5"/>
        <a:stretch>
          <a:fillRect/>
        </a:stretch>
      </xdr:blipFill>
      <xdr:spPr>
        <a:xfrm>
          <a:off x="9158007" y="19645712"/>
          <a:ext cx="5195029" cy="6076190"/>
        </a:xfrm>
        <a:prstGeom prst="rect">
          <a:avLst/>
        </a:prstGeom>
      </xdr:spPr>
    </xdr:pic>
    <xdr:clientData/>
  </xdr:twoCellAnchor>
  <xdr:twoCellAnchor editAs="oneCell">
    <xdr:from>
      <xdr:col>8</xdr:col>
      <xdr:colOff>83243</xdr:colOff>
      <xdr:row>68</xdr:row>
      <xdr:rowOff>101652</xdr:rowOff>
    </xdr:from>
    <xdr:to>
      <xdr:col>16</xdr:col>
      <xdr:colOff>365624</xdr:colOff>
      <xdr:row>85</xdr:row>
      <xdr:rowOff>148866</xdr:rowOff>
    </xdr:to>
    <xdr:pic>
      <xdr:nvPicPr>
        <xdr:cNvPr id="7" name="Picture 6">
          <a:extLst>
            <a:ext uri="{FF2B5EF4-FFF2-40B4-BE49-F238E27FC236}">
              <a16:creationId xmlns:a16="http://schemas.microsoft.com/office/drawing/2014/main" id="{00000000-0008-0000-0600-000007000000}"/>
            </a:ext>
          </a:extLst>
        </xdr:cNvPr>
        <xdr:cNvPicPr>
          <a:picLocks noChangeAspect="1"/>
        </xdr:cNvPicPr>
      </xdr:nvPicPr>
      <xdr:blipFill>
        <a:blip xmlns:r="http://schemas.openxmlformats.org/officeDocument/2006/relationships" r:embed="rId6"/>
        <a:stretch>
          <a:fillRect/>
        </a:stretch>
      </xdr:blipFill>
      <xdr:spPr>
        <a:xfrm>
          <a:off x="4924184" y="13055652"/>
          <a:ext cx="5123322" cy="3285714"/>
        </a:xfrm>
        <a:prstGeom prst="rect">
          <a:avLst/>
        </a:prstGeom>
      </xdr:spPr>
    </xdr:pic>
    <xdr:clientData/>
  </xdr:twoCellAnchor>
  <xdr:twoCellAnchor editAs="oneCell">
    <xdr:from>
      <xdr:col>16</xdr:col>
      <xdr:colOff>360991</xdr:colOff>
      <xdr:row>68</xdr:row>
      <xdr:rowOff>45625</xdr:rowOff>
    </xdr:from>
    <xdr:to>
      <xdr:col>24</xdr:col>
      <xdr:colOff>562698</xdr:colOff>
      <xdr:row>93</xdr:row>
      <xdr:rowOff>6934</xdr:rowOff>
    </xdr:to>
    <xdr:pic>
      <xdr:nvPicPr>
        <xdr:cNvPr id="8" name="Picture 7">
          <a:extLst>
            <a:ext uri="{FF2B5EF4-FFF2-40B4-BE49-F238E27FC236}">
              <a16:creationId xmlns:a16="http://schemas.microsoft.com/office/drawing/2014/main" id="{00000000-0008-0000-0600-000008000000}"/>
            </a:ext>
          </a:extLst>
        </xdr:cNvPr>
        <xdr:cNvPicPr>
          <a:picLocks noChangeAspect="1"/>
        </xdr:cNvPicPr>
      </xdr:nvPicPr>
      <xdr:blipFill>
        <a:blip xmlns:r="http://schemas.openxmlformats.org/officeDocument/2006/relationships" r:embed="rId7"/>
        <a:stretch>
          <a:fillRect/>
        </a:stretch>
      </xdr:blipFill>
      <xdr:spPr>
        <a:xfrm>
          <a:off x="10042873" y="12999625"/>
          <a:ext cx="5042649" cy="4723809"/>
        </a:xfrm>
        <a:prstGeom prst="rect">
          <a:avLst/>
        </a:prstGeom>
      </xdr:spPr>
    </xdr:pic>
    <xdr:clientData/>
  </xdr:twoCellAnchor>
  <xdr:twoCellAnchor>
    <xdr:from>
      <xdr:col>9</xdr:col>
      <xdr:colOff>99451</xdr:colOff>
      <xdr:row>31</xdr:row>
      <xdr:rowOff>51826</xdr:rowOff>
    </xdr:from>
    <xdr:to>
      <xdr:col>17</xdr:col>
      <xdr:colOff>381038</xdr:colOff>
      <xdr:row>63</xdr:row>
      <xdr:rowOff>104081</xdr:rowOff>
    </xdr:to>
    <xdr:grpSp>
      <xdr:nvGrpSpPr>
        <xdr:cNvPr id="13" name="Group 12">
          <a:extLst>
            <a:ext uri="{FF2B5EF4-FFF2-40B4-BE49-F238E27FC236}">
              <a16:creationId xmlns:a16="http://schemas.microsoft.com/office/drawing/2014/main" id="{00000000-0008-0000-0600-00000D000000}"/>
            </a:ext>
          </a:extLst>
        </xdr:cNvPr>
        <xdr:cNvGrpSpPr/>
      </xdr:nvGrpSpPr>
      <xdr:grpSpPr>
        <a:xfrm>
          <a:off x="5545510" y="5957326"/>
          <a:ext cx="5122528" cy="6148255"/>
          <a:chOff x="5736010" y="5576327"/>
          <a:chExt cx="5122528" cy="6148255"/>
        </a:xfrm>
      </xdr:grpSpPr>
      <xdr:grpSp>
        <xdr:nvGrpSpPr>
          <xdr:cNvPr id="11" name="Group 10">
            <a:extLst>
              <a:ext uri="{FF2B5EF4-FFF2-40B4-BE49-F238E27FC236}">
                <a16:creationId xmlns:a16="http://schemas.microsoft.com/office/drawing/2014/main" id="{00000000-0008-0000-0600-00000B000000}"/>
              </a:ext>
            </a:extLst>
          </xdr:cNvPr>
          <xdr:cNvGrpSpPr/>
        </xdr:nvGrpSpPr>
        <xdr:grpSpPr>
          <a:xfrm>
            <a:off x="5736010" y="5576327"/>
            <a:ext cx="5118846" cy="3933655"/>
            <a:chOff x="10409464" y="4381500"/>
            <a:chExt cx="5183679" cy="3933655"/>
          </a:xfrm>
        </xdr:grpSpPr>
        <xdr:pic>
          <xdr:nvPicPr>
            <xdr:cNvPr id="9" name="Picture 8">
              <a:extLst>
                <a:ext uri="{FF2B5EF4-FFF2-40B4-BE49-F238E27FC236}">
                  <a16:creationId xmlns:a16="http://schemas.microsoft.com/office/drawing/2014/main" id="{00000000-0008-0000-0600-000009000000}"/>
                </a:ext>
              </a:extLst>
            </xdr:cNvPr>
            <xdr:cNvPicPr>
              <a:picLocks noChangeAspect="1"/>
            </xdr:cNvPicPr>
          </xdr:nvPicPr>
          <xdr:blipFill>
            <a:blip xmlns:r="http://schemas.openxmlformats.org/officeDocument/2006/relationships" r:embed="rId8"/>
            <a:stretch>
              <a:fillRect/>
            </a:stretch>
          </xdr:blipFill>
          <xdr:spPr>
            <a:xfrm>
              <a:off x="10409464" y="4381500"/>
              <a:ext cx="5171429" cy="2628571"/>
            </a:xfrm>
            <a:prstGeom prst="rect">
              <a:avLst/>
            </a:prstGeom>
          </xdr:spPr>
        </xdr:pic>
        <xdr:pic>
          <xdr:nvPicPr>
            <xdr:cNvPr id="10" name="Picture 9">
              <a:extLst>
                <a:ext uri="{FF2B5EF4-FFF2-40B4-BE49-F238E27FC236}">
                  <a16:creationId xmlns:a16="http://schemas.microsoft.com/office/drawing/2014/main" id="{00000000-0008-0000-0600-00000A000000}"/>
                </a:ext>
              </a:extLst>
            </xdr:cNvPr>
            <xdr:cNvPicPr>
              <a:picLocks noChangeAspect="1"/>
            </xdr:cNvPicPr>
          </xdr:nvPicPr>
          <xdr:blipFill>
            <a:blip xmlns:r="http://schemas.openxmlformats.org/officeDocument/2006/relationships" r:embed="rId9"/>
            <a:stretch>
              <a:fillRect/>
            </a:stretch>
          </xdr:blipFill>
          <xdr:spPr>
            <a:xfrm>
              <a:off x="10450286" y="6953250"/>
              <a:ext cx="5142857" cy="1361905"/>
            </a:xfrm>
            <a:prstGeom prst="rect">
              <a:avLst/>
            </a:prstGeom>
          </xdr:spPr>
        </xdr:pic>
      </xdr:grpSp>
      <xdr:pic>
        <xdr:nvPicPr>
          <xdr:cNvPr id="12" name="Picture 11">
            <a:extLst>
              <a:ext uri="{FF2B5EF4-FFF2-40B4-BE49-F238E27FC236}">
                <a16:creationId xmlns:a16="http://schemas.microsoft.com/office/drawing/2014/main" id="{00000000-0008-0000-0600-00000C000000}"/>
              </a:ext>
            </a:extLst>
          </xdr:cNvPr>
          <xdr:cNvPicPr>
            <a:picLocks noChangeAspect="1"/>
          </xdr:cNvPicPr>
        </xdr:nvPicPr>
        <xdr:blipFill>
          <a:blip xmlns:r="http://schemas.openxmlformats.org/officeDocument/2006/relationships" r:embed="rId10"/>
          <a:stretch>
            <a:fillRect/>
          </a:stretch>
        </xdr:blipFill>
        <xdr:spPr>
          <a:xfrm>
            <a:off x="5796842" y="9686487"/>
            <a:ext cx="5061696" cy="2038095"/>
          </a:xfrm>
          <a:prstGeom prst="rect">
            <a:avLst/>
          </a:prstGeom>
        </xdr:spPr>
      </xdr:pic>
    </xdr:grpSp>
    <xdr:clientData/>
  </xdr:twoCellAnchor>
  <xdr:twoCellAnchor editAs="oneCell">
    <xdr:from>
      <xdr:col>18</xdr:col>
      <xdr:colOff>70035</xdr:colOff>
      <xdr:row>29</xdr:row>
      <xdr:rowOff>39222</xdr:rowOff>
    </xdr:from>
    <xdr:to>
      <xdr:col>27</xdr:col>
      <xdr:colOff>116959</xdr:colOff>
      <xdr:row>66</xdr:row>
      <xdr:rowOff>85960</xdr:rowOff>
    </xdr:to>
    <xdr:pic>
      <xdr:nvPicPr>
        <xdr:cNvPr id="14" name="Picture 13">
          <a:extLst>
            <a:ext uri="{FF2B5EF4-FFF2-40B4-BE49-F238E27FC236}">
              <a16:creationId xmlns:a16="http://schemas.microsoft.com/office/drawing/2014/main" id="{00000000-0008-0000-0600-00000E000000}"/>
            </a:ext>
          </a:extLst>
        </xdr:cNvPr>
        <xdr:cNvPicPr>
          <a:picLocks noChangeAspect="1"/>
        </xdr:cNvPicPr>
      </xdr:nvPicPr>
      <xdr:blipFill>
        <a:blip xmlns:r="http://schemas.openxmlformats.org/officeDocument/2006/relationships" r:embed="rId11"/>
        <a:stretch>
          <a:fillRect/>
        </a:stretch>
      </xdr:blipFill>
      <xdr:spPr>
        <a:xfrm>
          <a:off x="10962153" y="5563722"/>
          <a:ext cx="5492982" cy="7095238"/>
        </a:xfrm>
        <a:prstGeom prst="rect">
          <a:avLst/>
        </a:prstGeom>
      </xdr:spPr>
    </xdr:pic>
    <xdr:clientData/>
  </xdr:twoCellAnchor>
  <xdr:twoCellAnchor editAs="oneCell">
    <xdr:from>
      <xdr:col>0</xdr:col>
      <xdr:colOff>242327</xdr:colOff>
      <xdr:row>41</xdr:row>
      <xdr:rowOff>60231</xdr:rowOff>
    </xdr:from>
    <xdr:to>
      <xdr:col>8</xdr:col>
      <xdr:colOff>508375</xdr:colOff>
      <xdr:row>61</xdr:row>
      <xdr:rowOff>59755</xdr:rowOff>
    </xdr:to>
    <xdr:pic>
      <xdr:nvPicPr>
        <xdr:cNvPr id="15" name="Picture 14">
          <a:extLst>
            <a:ext uri="{FF2B5EF4-FFF2-40B4-BE49-F238E27FC236}">
              <a16:creationId xmlns:a16="http://schemas.microsoft.com/office/drawing/2014/main" id="{00000000-0008-0000-0600-00000F000000}"/>
            </a:ext>
          </a:extLst>
        </xdr:cNvPr>
        <xdr:cNvPicPr>
          <a:picLocks noChangeAspect="1"/>
        </xdr:cNvPicPr>
      </xdr:nvPicPr>
      <xdr:blipFill>
        <a:blip xmlns:r="http://schemas.openxmlformats.org/officeDocument/2006/relationships" r:embed="rId12"/>
        <a:stretch>
          <a:fillRect/>
        </a:stretch>
      </xdr:blipFill>
      <xdr:spPr>
        <a:xfrm>
          <a:off x="242327" y="7870731"/>
          <a:ext cx="5106989" cy="3809524"/>
        </a:xfrm>
        <a:prstGeom prst="rect">
          <a:avLst/>
        </a:prstGeom>
      </xdr:spPr>
    </xdr:pic>
    <xdr:clientData/>
  </xdr:twoCellAnchor>
</xdr:wsDr>
</file>

<file path=xl/drawings/drawing8.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11</xdr:col>
          <xdr:colOff>7327</xdr:colOff>
          <xdr:row>8</xdr:row>
          <xdr:rowOff>0</xdr:rowOff>
        </xdr:from>
        <xdr:to>
          <xdr:col>17</xdr:col>
          <xdr:colOff>0</xdr:colOff>
          <xdr:row>25</xdr:row>
          <xdr:rowOff>0</xdr:rowOff>
        </xdr:to>
        <xdr:pic>
          <xdr:nvPicPr>
            <xdr:cNvPr id="22" name="Picture 21">
              <a:extLst>
                <a:ext uri="{FF2B5EF4-FFF2-40B4-BE49-F238E27FC236}">
                  <a16:creationId xmlns:a16="http://schemas.microsoft.com/office/drawing/2014/main" id="{00000000-0008-0000-0700-000016000000}"/>
                </a:ext>
              </a:extLst>
            </xdr:cNvPr>
            <xdr:cNvPicPr>
              <a:picLocks noChangeAspect="1" noChangeArrowheads="1"/>
              <a:extLst>
                <a:ext uri="{84589F7E-364E-4C9E-8A38-B11213B215E9}">
                  <a14:cameraTool cellRange="FigureLookupLAB" spid="_x0000_s9768"/>
                </a:ext>
              </a:extLst>
            </xdr:cNvPicPr>
          </xdr:nvPicPr>
          <xdr:blipFill>
            <a:blip xmlns:r="http://schemas.openxmlformats.org/officeDocument/2006/relationships" r:embed="rId1"/>
            <a:srcRect/>
            <a:stretch>
              <a:fillRect/>
            </a:stretch>
          </xdr:blipFill>
          <xdr:spPr bwMode="auto">
            <a:xfrm>
              <a:off x="8865577" y="3494942"/>
              <a:ext cx="3656135" cy="3245827"/>
            </a:xfrm>
            <a:prstGeom prst="rect">
              <a:avLst/>
            </a:prstGeom>
            <a:solidFill>
              <a:schemeClr val="accent6">
                <a:lumMod val="20000"/>
                <a:lumOff val="80000"/>
              </a:schemeClr>
            </a:solidFill>
            <a:ln>
              <a:solidFill>
                <a:sysClr val="windowText" lastClr="000000"/>
              </a:solidFill>
            </a:ln>
          </xdr:spPr>
        </xdr:pic>
        <xdr:clientData/>
      </xdr:twoCellAnchor>
    </mc:Choice>
    <mc:Fallback/>
  </mc:AlternateContent>
  <mc:AlternateContent xmlns:mc="http://schemas.openxmlformats.org/markup-compatibility/2006">
    <mc:Choice xmlns:a14="http://schemas.microsoft.com/office/drawing/2010/main" Requires="a14">
      <xdr:twoCellAnchor editAs="oneCell">
        <xdr:from>
          <xdr:col>11</xdr:col>
          <xdr:colOff>7327</xdr:colOff>
          <xdr:row>26</xdr:row>
          <xdr:rowOff>0</xdr:rowOff>
        </xdr:from>
        <xdr:to>
          <xdr:col>17</xdr:col>
          <xdr:colOff>0</xdr:colOff>
          <xdr:row>43</xdr:row>
          <xdr:rowOff>12727</xdr:rowOff>
        </xdr:to>
        <xdr:pic>
          <xdr:nvPicPr>
            <xdr:cNvPr id="23" name="Picture 22">
              <a:extLst>
                <a:ext uri="{FF2B5EF4-FFF2-40B4-BE49-F238E27FC236}">
                  <a16:creationId xmlns:a16="http://schemas.microsoft.com/office/drawing/2014/main" id="{00000000-0008-0000-0700-000017000000}"/>
                </a:ext>
              </a:extLst>
            </xdr:cNvPr>
            <xdr:cNvPicPr>
              <a:picLocks noChangeAspect="1" noChangeArrowheads="1"/>
              <a:extLst>
                <a:ext uri="{84589F7E-364E-4C9E-8A38-B11213B215E9}">
                  <a14:cameraTool cellRange="FigureLookupRAB" spid="_x0000_s9769"/>
                </a:ext>
              </a:extLst>
            </xdr:cNvPicPr>
          </xdr:nvPicPr>
          <xdr:blipFill>
            <a:blip xmlns:r="http://schemas.openxmlformats.org/officeDocument/2006/relationships" r:embed="rId2"/>
            <a:srcRect/>
            <a:stretch>
              <a:fillRect/>
            </a:stretch>
          </xdr:blipFill>
          <xdr:spPr bwMode="auto">
            <a:xfrm>
              <a:off x="8865577" y="6931269"/>
              <a:ext cx="3656135" cy="3249029"/>
            </a:xfrm>
            <a:prstGeom prst="rect">
              <a:avLst/>
            </a:prstGeom>
            <a:solidFill>
              <a:schemeClr val="accent6">
                <a:lumMod val="20000"/>
                <a:lumOff val="80000"/>
              </a:schemeClr>
            </a:solidFill>
            <a:ln w="6350">
              <a:solidFill>
                <a:sysClr val="windowText" lastClr="000000"/>
              </a:solidFill>
            </a:ln>
          </xdr:spPr>
        </xdr:pic>
        <xdr:clientData/>
      </xdr:twoCellAnchor>
    </mc:Choice>
    <mc:Fallback/>
  </mc:AlternateContent>
  <xdr:twoCellAnchor editAs="oneCell">
    <xdr:from>
      <xdr:col>8</xdr:col>
      <xdr:colOff>523875</xdr:colOff>
      <xdr:row>0</xdr:row>
      <xdr:rowOff>38100</xdr:rowOff>
    </xdr:from>
    <xdr:to>
      <xdr:col>8</xdr:col>
      <xdr:colOff>1824351</xdr:colOff>
      <xdr:row>1</xdr:row>
      <xdr:rowOff>155590</xdr:rowOff>
    </xdr:to>
    <xdr:pic>
      <xdr:nvPicPr>
        <xdr:cNvPr id="6" name="Picture 5">
          <a:extLst>
            <a:ext uri="{FF2B5EF4-FFF2-40B4-BE49-F238E27FC236}">
              <a16:creationId xmlns:a16="http://schemas.microsoft.com/office/drawing/2014/main" id="{00000000-0008-0000-0700-000006000000}"/>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a:off x="7010400" y="228600"/>
          <a:ext cx="1300476" cy="38419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9.xml><?xml version="1.0" encoding="utf-8"?>
<xdr:wsDr xmlns:xdr="http://schemas.openxmlformats.org/drawingml/2006/spreadsheetDrawing" xmlns:a="http://schemas.openxmlformats.org/drawingml/2006/main">
  <xdr:twoCellAnchor editAs="oneCell">
    <xdr:from>
      <xdr:col>0</xdr:col>
      <xdr:colOff>219075</xdr:colOff>
      <xdr:row>7</xdr:row>
      <xdr:rowOff>171450</xdr:rowOff>
    </xdr:from>
    <xdr:to>
      <xdr:col>8</xdr:col>
      <xdr:colOff>285132</xdr:colOff>
      <xdr:row>34</xdr:row>
      <xdr:rowOff>37474</xdr:rowOff>
    </xdr:to>
    <xdr:pic>
      <xdr:nvPicPr>
        <xdr:cNvPr id="2" name="Picture 1">
          <a:extLst>
            <a:ext uri="{FF2B5EF4-FFF2-40B4-BE49-F238E27FC236}">
              <a16:creationId xmlns:a16="http://schemas.microsoft.com/office/drawing/2014/main" id="{00000000-0008-0000-0800-000002000000}"/>
            </a:ext>
          </a:extLst>
        </xdr:cNvPr>
        <xdr:cNvPicPr>
          <a:picLocks noChangeAspect="1"/>
        </xdr:cNvPicPr>
      </xdr:nvPicPr>
      <xdr:blipFill>
        <a:blip xmlns:r="http://schemas.openxmlformats.org/officeDocument/2006/relationships" r:embed="rId1"/>
        <a:stretch>
          <a:fillRect/>
        </a:stretch>
      </xdr:blipFill>
      <xdr:spPr>
        <a:xfrm>
          <a:off x="219075" y="742950"/>
          <a:ext cx="4942857" cy="5009524"/>
        </a:xfrm>
        <a:prstGeom prst="rect">
          <a:avLst/>
        </a:prstGeom>
      </xdr:spPr>
    </xdr:pic>
    <xdr:clientData/>
  </xdr:twoCellAnchor>
  <xdr:twoCellAnchor editAs="oneCell">
    <xdr:from>
      <xdr:col>8</xdr:col>
      <xdr:colOff>514350</xdr:colOff>
      <xdr:row>7</xdr:row>
      <xdr:rowOff>183696</xdr:rowOff>
    </xdr:from>
    <xdr:to>
      <xdr:col>14</xdr:col>
      <xdr:colOff>209131</xdr:colOff>
      <xdr:row>42</xdr:row>
      <xdr:rowOff>59053</xdr:rowOff>
    </xdr:to>
    <xdr:pic>
      <xdr:nvPicPr>
        <xdr:cNvPr id="3" name="Picture 2">
          <a:extLst>
            <a:ext uri="{FF2B5EF4-FFF2-40B4-BE49-F238E27FC236}">
              <a16:creationId xmlns:a16="http://schemas.microsoft.com/office/drawing/2014/main" id="{00000000-0008-0000-0800-000003000000}"/>
            </a:ext>
          </a:extLst>
        </xdr:cNvPr>
        <xdr:cNvPicPr>
          <a:picLocks noChangeAspect="1"/>
        </xdr:cNvPicPr>
      </xdr:nvPicPr>
      <xdr:blipFill>
        <a:blip xmlns:r="http://schemas.openxmlformats.org/officeDocument/2006/relationships" r:embed="rId2"/>
        <a:stretch>
          <a:fillRect/>
        </a:stretch>
      </xdr:blipFill>
      <xdr:spPr>
        <a:xfrm>
          <a:off x="5412921" y="945696"/>
          <a:ext cx="3368710" cy="6542857"/>
        </a:xfrm>
        <a:prstGeom prst="rect">
          <a:avLst/>
        </a:prstGeom>
      </xdr:spPr>
    </xdr:pic>
    <xdr:clientData/>
  </xdr:twoCellAnchor>
  <xdr:twoCellAnchor editAs="oneCell">
    <xdr:from>
      <xdr:col>4</xdr:col>
      <xdr:colOff>610961</xdr:colOff>
      <xdr:row>68</xdr:row>
      <xdr:rowOff>10886</xdr:rowOff>
    </xdr:from>
    <xdr:to>
      <xdr:col>13</xdr:col>
      <xdr:colOff>305512</xdr:colOff>
      <xdr:row>91</xdr:row>
      <xdr:rowOff>134148</xdr:rowOff>
    </xdr:to>
    <xdr:pic>
      <xdr:nvPicPr>
        <xdr:cNvPr id="4" name="Picture 3">
          <a:extLst>
            <a:ext uri="{FF2B5EF4-FFF2-40B4-BE49-F238E27FC236}">
              <a16:creationId xmlns:a16="http://schemas.microsoft.com/office/drawing/2014/main" id="{00000000-0008-0000-0800-000004000000}"/>
            </a:ext>
          </a:extLst>
        </xdr:cNvPr>
        <xdr:cNvPicPr>
          <a:picLocks noChangeAspect="1"/>
        </xdr:cNvPicPr>
      </xdr:nvPicPr>
      <xdr:blipFill>
        <a:blip xmlns:r="http://schemas.openxmlformats.org/officeDocument/2006/relationships" r:embed="rId3"/>
        <a:stretch>
          <a:fillRect/>
        </a:stretch>
      </xdr:blipFill>
      <xdr:spPr>
        <a:xfrm>
          <a:off x="3060247" y="12583886"/>
          <a:ext cx="5205444" cy="4504762"/>
        </a:xfrm>
        <a:prstGeom prst="rect">
          <a:avLst/>
        </a:prstGeom>
      </xdr:spPr>
    </xdr:pic>
    <xdr:clientData/>
  </xdr:twoCellAnchor>
  <xdr:twoCellAnchor editAs="oneCell">
    <xdr:from>
      <xdr:col>0</xdr:col>
      <xdr:colOff>130628</xdr:colOff>
      <xdr:row>34</xdr:row>
      <xdr:rowOff>179614</xdr:rowOff>
    </xdr:from>
    <xdr:to>
      <xdr:col>8</xdr:col>
      <xdr:colOff>263352</xdr:colOff>
      <xdr:row>45</xdr:row>
      <xdr:rowOff>17447</xdr:rowOff>
    </xdr:to>
    <xdr:pic>
      <xdr:nvPicPr>
        <xdr:cNvPr id="5" name="Picture 4">
          <a:extLst>
            <a:ext uri="{FF2B5EF4-FFF2-40B4-BE49-F238E27FC236}">
              <a16:creationId xmlns:a16="http://schemas.microsoft.com/office/drawing/2014/main" id="{00000000-0008-0000-0800-000005000000}"/>
            </a:ext>
          </a:extLst>
        </xdr:cNvPr>
        <xdr:cNvPicPr>
          <a:picLocks noChangeAspect="1"/>
        </xdr:cNvPicPr>
      </xdr:nvPicPr>
      <xdr:blipFill>
        <a:blip xmlns:r="http://schemas.openxmlformats.org/officeDocument/2006/relationships" r:embed="rId4"/>
        <a:stretch>
          <a:fillRect/>
        </a:stretch>
      </xdr:blipFill>
      <xdr:spPr>
        <a:xfrm>
          <a:off x="130628" y="6085114"/>
          <a:ext cx="5031295" cy="1933333"/>
        </a:xfrm>
        <a:prstGeom prst="rect">
          <a:avLst/>
        </a:prstGeom>
      </xdr:spPr>
    </xdr:pic>
    <xdr:clientData/>
  </xdr:twoCellAnchor>
  <xdr:twoCellAnchor>
    <xdr:from>
      <xdr:col>9</xdr:col>
      <xdr:colOff>95249</xdr:colOff>
      <xdr:row>48</xdr:row>
      <xdr:rowOff>13608</xdr:rowOff>
    </xdr:from>
    <xdr:to>
      <xdr:col>15</xdr:col>
      <xdr:colOff>256676</xdr:colOff>
      <xdr:row>66</xdr:row>
      <xdr:rowOff>78556</xdr:rowOff>
    </xdr:to>
    <xdr:grpSp>
      <xdr:nvGrpSpPr>
        <xdr:cNvPr id="12" name="Group 11">
          <a:extLst>
            <a:ext uri="{FF2B5EF4-FFF2-40B4-BE49-F238E27FC236}">
              <a16:creationId xmlns:a16="http://schemas.microsoft.com/office/drawing/2014/main" id="{00000000-0008-0000-0800-00000C000000}"/>
            </a:ext>
          </a:extLst>
        </xdr:cNvPr>
        <xdr:cNvGrpSpPr/>
      </xdr:nvGrpSpPr>
      <xdr:grpSpPr>
        <a:xfrm>
          <a:off x="5581649" y="9157608"/>
          <a:ext cx="3819027" cy="3493948"/>
          <a:chOff x="5924550" y="15116175"/>
          <a:chExt cx="3990476" cy="2923809"/>
        </a:xfrm>
      </xdr:grpSpPr>
      <xdr:pic>
        <xdr:nvPicPr>
          <xdr:cNvPr id="9" name="Picture 8">
            <a:extLst>
              <a:ext uri="{FF2B5EF4-FFF2-40B4-BE49-F238E27FC236}">
                <a16:creationId xmlns:a16="http://schemas.microsoft.com/office/drawing/2014/main" id="{00000000-0008-0000-0800-000009000000}"/>
              </a:ext>
            </a:extLst>
          </xdr:cNvPr>
          <xdr:cNvPicPr>
            <a:picLocks noChangeAspect="1"/>
          </xdr:cNvPicPr>
        </xdr:nvPicPr>
        <xdr:blipFill>
          <a:blip xmlns:r="http://schemas.openxmlformats.org/officeDocument/2006/relationships" r:embed="rId5"/>
          <a:stretch>
            <a:fillRect/>
          </a:stretch>
        </xdr:blipFill>
        <xdr:spPr>
          <a:xfrm>
            <a:off x="5924550" y="15116175"/>
            <a:ext cx="3990476" cy="2923809"/>
          </a:xfrm>
          <a:prstGeom prst="rect">
            <a:avLst/>
          </a:prstGeom>
        </xdr:spPr>
      </xdr:pic>
      <xdr:sp macro="" textlink="">
        <xdr:nvSpPr>
          <xdr:cNvPr id="10" name="TextBox 9">
            <a:extLst>
              <a:ext uri="{FF2B5EF4-FFF2-40B4-BE49-F238E27FC236}">
                <a16:creationId xmlns:a16="http://schemas.microsoft.com/office/drawing/2014/main" id="{00000000-0008-0000-0800-00000A000000}"/>
              </a:ext>
            </a:extLst>
          </xdr:cNvPr>
          <xdr:cNvSpPr txBox="1"/>
        </xdr:nvSpPr>
        <xdr:spPr>
          <a:xfrm>
            <a:off x="6191250" y="16925925"/>
            <a:ext cx="1257300" cy="264560"/>
          </a:xfrm>
          <a:prstGeom prst="rect">
            <a:avLst/>
          </a:prstGeom>
          <a:solidFill>
            <a:sysClr val="window" lastClr="FFFFFF"/>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pPr algn="ctr"/>
            <a:r>
              <a:rPr lang="en-US" sz="1100"/>
              <a:t>Use EQ. 8.5</a:t>
            </a:r>
          </a:p>
        </xdr:txBody>
      </xdr:sp>
      <xdr:sp macro="" textlink="">
        <xdr:nvSpPr>
          <xdr:cNvPr id="11" name="TextBox 10">
            <a:extLst>
              <a:ext uri="{FF2B5EF4-FFF2-40B4-BE49-F238E27FC236}">
                <a16:creationId xmlns:a16="http://schemas.microsoft.com/office/drawing/2014/main" id="{00000000-0008-0000-0800-00000B000000}"/>
              </a:ext>
            </a:extLst>
          </xdr:cNvPr>
          <xdr:cNvSpPr txBox="1"/>
        </xdr:nvSpPr>
        <xdr:spPr>
          <a:xfrm>
            <a:off x="8258175" y="16935450"/>
            <a:ext cx="1257300" cy="264560"/>
          </a:xfrm>
          <a:prstGeom prst="rect">
            <a:avLst/>
          </a:prstGeom>
          <a:solidFill>
            <a:sysClr val="window" lastClr="FFFFFF"/>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pPr algn="ctr"/>
            <a:r>
              <a:rPr lang="en-US" sz="1100"/>
              <a:t>Use EQ. 8.6</a:t>
            </a:r>
          </a:p>
        </xdr:txBody>
      </xdr:sp>
    </xdr:grpSp>
    <xdr:clientData/>
  </xdr:twoCellAnchor>
  <xdr:twoCellAnchor>
    <xdr:from>
      <xdr:col>5</xdr:col>
      <xdr:colOff>16329</xdr:colOff>
      <xdr:row>93</xdr:row>
      <xdr:rowOff>14968</xdr:rowOff>
    </xdr:from>
    <xdr:to>
      <xdr:col>13</xdr:col>
      <xdr:colOff>225242</xdr:colOff>
      <xdr:row>107</xdr:row>
      <xdr:rowOff>62593</xdr:rowOff>
    </xdr:to>
    <xdr:grpSp>
      <xdr:nvGrpSpPr>
        <xdr:cNvPr id="7" name="Group 6">
          <a:extLst>
            <a:ext uri="{FF2B5EF4-FFF2-40B4-BE49-F238E27FC236}">
              <a16:creationId xmlns:a16="http://schemas.microsoft.com/office/drawing/2014/main" id="{00000000-0008-0000-0800-000007000000}"/>
            </a:ext>
          </a:extLst>
        </xdr:cNvPr>
        <xdr:cNvGrpSpPr/>
      </xdr:nvGrpSpPr>
      <xdr:grpSpPr>
        <a:xfrm>
          <a:off x="3064329" y="17731468"/>
          <a:ext cx="5085713" cy="2714625"/>
          <a:chOff x="5682343" y="23098125"/>
          <a:chExt cx="5107485" cy="2714625"/>
        </a:xfrm>
      </xdr:grpSpPr>
      <xdr:pic>
        <xdr:nvPicPr>
          <xdr:cNvPr id="13" name="Picture 12">
            <a:extLst>
              <a:ext uri="{FF2B5EF4-FFF2-40B4-BE49-F238E27FC236}">
                <a16:creationId xmlns:a16="http://schemas.microsoft.com/office/drawing/2014/main" id="{00000000-0008-0000-0800-00000D000000}"/>
              </a:ext>
            </a:extLst>
          </xdr:cNvPr>
          <xdr:cNvPicPr>
            <a:picLocks noChangeAspect="1"/>
          </xdr:cNvPicPr>
        </xdr:nvPicPr>
        <xdr:blipFill>
          <a:blip xmlns:r="http://schemas.openxmlformats.org/officeDocument/2006/relationships" r:embed="rId6"/>
          <a:stretch>
            <a:fillRect/>
          </a:stretch>
        </xdr:blipFill>
        <xdr:spPr>
          <a:xfrm>
            <a:off x="5682343" y="23098125"/>
            <a:ext cx="5107485" cy="1619048"/>
          </a:xfrm>
          <a:prstGeom prst="rect">
            <a:avLst/>
          </a:prstGeom>
        </xdr:spPr>
      </xdr:pic>
      <xdr:pic>
        <xdr:nvPicPr>
          <xdr:cNvPr id="14" name="Picture 13">
            <a:extLst>
              <a:ext uri="{FF2B5EF4-FFF2-40B4-BE49-F238E27FC236}">
                <a16:creationId xmlns:a16="http://schemas.microsoft.com/office/drawing/2014/main" id="{00000000-0008-0000-0800-00000E000000}"/>
              </a:ext>
            </a:extLst>
          </xdr:cNvPr>
          <xdr:cNvPicPr>
            <a:picLocks noChangeAspect="1"/>
          </xdr:cNvPicPr>
        </xdr:nvPicPr>
        <xdr:blipFill rotWithShape="1">
          <a:blip xmlns:r="http://schemas.openxmlformats.org/officeDocument/2006/relationships" r:embed="rId7"/>
          <a:srcRect b="76929"/>
          <a:stretch/>
        </xdr:blipFill>
        <xdr:spPr>
          <a:xfrm>
            <a:off x="5682343" y="24740507"/>
            <a:ext cx="5088438" cy="1072243"/>
          </a:xfrm>
          <a:prstGeom prst="rect">
            <a:avLst/>
          </a:prstGeom>
        </xdr:spPr>
      </xdr:pic>
    </xdr:grpSp>
    <xdr:clientData/>
  </xdr:twoCellAnchor>
  <xdr:twoCellAnchor editAs="oneCell">
    <xdr:from>
      <xdr:col>5</xdr:col>
      <xdr:colOff>42183</xdr:colOff>
      <xdr:row>114</xdr:row>
      <xdr:rowOff>85724</xdr:rowOff>
    </xdr:from>
    <xdr:to>
      <xdr:col>13</xdr:col>
      <xdr:colOff>232049</xdr:colOff>
      <xdr:row>133</xdr:row>
      <xdr:rowOff>38879</xdr:rowOff>
    </xdr:to>
    <xdr:pic>
      <xdr:nvPicPr>
        <xdr:cNvPr id="15" name="Picture 14">
          <a:extLst>
            <a:ext uri="{FF2B5EF4-FFF2-40B4-BE49-F238E27FC236}">
              <a16:creationId xmlns:a16="http://schemas.microsoft.com/office/drawing/2014/main" id="{00000000-0008-0000-0800-00000F000000}"/>
            </a:ext>
          </a:extLst>
        </xdr:cNvPr>
        <xdr:cNvPicPr>
          <a:picLocks noChangeAspect="1"/>
        </xdr:cNvPicPr>
      </xdr:nvPicPr>
      <xdr:blipFill rotWithShape="1">
        <a:blip xmlns:r="http://schemas.openxmlformats.org/officeDocument/2006/relationships" r:embed="rId7"/>
        <a:srcRect t="23129"/>
        <a:stretch/>
      </xdr:blipFill>
      <xdr:spPr>
        <a:xfrm>
          <a:off x="3103790" y="21421724"/>
          <a:ext cx="5088438" cy="3572655"/>
        </a:xfrm>
        <a:prstGeom prst="rect">
          <a:avLst/>
        </a:prstGeom>
      </xdr:spPr>
    </xdr:pic>
    <xdr:clientData/>
  </xdr:twoCellAnchor>
  <xdr:twoCellAnchor editAs="oneCell">
    <xdr:from>
      <xdr:col>5</xdr:col>
      <xdr:colOff>393246</xdr:colOff>
      <xdr:row>140</xdr:row>
      <xdr:rowOff>110217</xdr:rowOff>
    </xdr:from>
    <xdr:to>
      <xdr:col>13</xdr:col>
      <xdr:colOff>459303</xdr:colOff>
      <xdr:row>151</xdr:row>
      <xdr:rowOff>157216</xdr:rowOff>
    </xdr:to>
    <xdr:pic>
      <xdr:nvPicPr>
        <xdr:cNvPr id="23" name="Picture 22">
          <a:extLst>
            <a:ext uri="{FF2B5EF4-FFF2-40B4-BE49-F238E27FC236}">
              <a16:creationId xmlns:a16="http://schemas.microsoft.com/office/drawing/2014/main" id="{00000000-0008-0000-0800-000017000000}"/>
            </a:ext>
          </a:extLst>
        </xdr:cNvPr>
        <xdr:cNvPicPr>
          <a:picLocks noChangeAspect="1"/>
        </xdr:cNvPicPr>
      </xdr:nvPicPr>
      <xdr:blipFill rotWithShape="1">
        <a:blip xmlns:r="http://schemas.openxmlformats.org/officeDocument/2006/relationships" r:embed="rId1"/>
        <a:srcRect t="57231"/>
        <a:stretch/>
      </xdr:blipFill>
      <xdr:spPr>
        <a:xfrm>
          <a:off x="3454853" y="26399217"/>
          <a:ext cx="4964629" cy="2142499"/>
        </a:xfrm>
        <a:prstGeom prst="rect">
          <a:avLst/>
        </a:prstGeom>
      </xdr:spPr>
    </xdr:pic>
    <xdr:clientData/>
  </xdr:twoCellAnchor>
  <xdr:twoCellAnchor editAs="oneCell">
    <xdr:from>
      <xdr:col>23</xdr:col>
      <xdr:colOff>381002</xdr:colOff>
      <xdr:row>2</xdr:row>
      <xdr:rowOff>86592</xdr:rowOff>
    </xdr:from>
    <xdr:to>
      <xdr:col>29</xdr:col>
      <xdr:colOff>571501</xdr:colOff>
      <xdr:row>28</xdr:row>
      <xdr:rowOff>108407</xdr:rowOff>
    </xdr:to>
    <xdr:pic>
      <xdr:nvPicPr>
        <xdr:cNvPr id="25" name="Picture 24">
          <a:extLst>
            <a:ext uri="{FF2B5EF4-FFF2-40B4-BE49-F238E27FC236}">
              <a16:creationId xmlns:a16="http://schemas.microsoft.com/office/drawing/2014/main" id="{00000000-0008-0000-0800-000019000000}"/>
            </a:ext>
          </a:extLst>
        </xdr:cNvPr>
        <xdr:cNvPicPr>
          <a:picLocks noChangeAspect="1"/>
        </xdr:cNvPicPr>
      </xdr:nvPicPr>
      <xdr:blipFill>
        <a:blip xmlns:r="http://schemas.openxmlformats.org/officeDocument/2006/relationships" r:embed="rId8"/>
        <a:stretch>
          <a:fillRect/>
        </a:stretch>
      </xdr:blipFill>
      <xdr:spPr>
        <a:xfrm>
          <a:off x="14322138" y="467592"/>
          <a:ext cx="3827318" cy="4974815"/>
        </a:xfrm>
        <a:prstGeom prst="rect">
          <a:avLst/>
        </a:prstGeom>
      </xdr:spPr>
    </xdr:pic>
    <xdr:clientData/>
  </xdr:twoCellAnchor>
  <xdr:twoCellAnchor editAs="oneCell">
    <xdr:from>
      <xdr:col>23</xdr:col>
      <xdr:colOff>329047</xdr:colOff>
      <xdr:row>28</xdr:row>
      <xdr:rowOff>86592</xdr:rowOff>
    </xdr:from>
    <xdr:to>
      <xdr:col>29</xdr:col>
      <xdr:colOff>566048</xdr:colOff>
      <xdr:row>54</xdr:row>
      <xdr:rowOff>138545</xdr:rowOff>
    </xdr:to>
    <xdr:pic>
      <xdr:nvPicPr>
        <xdr:cNvPr id="26" name="Picture 25">
          <a:extLst>
            <a:ext uri="{FF2B5EF4-FFF2-40B4-BE49-F238E27FC236}">
              <a16:creationId xmlns:a16="http://schemas.microsoft.com/office/drawing/2014/main" id="{00000000-0008-0000-0800-00001A000000}"/>
            </a:ext>
          </a:extLst>
        </xdr:cNvPr>
        <xdr:cNvPicPr>
          <a:picLocks noChangeAspect="1"/>
        </xdr:cNvPicPr>
      </xdr:nvPicPr>
      <xdr:blipFill>
        <a:blip xmlns:r="http://schemas.openxmlformats.org/officeDocument/2006/relationships" r:embed="rId9"/>
        <a:stretch>
          <a:fillRect/>
        </a:stretch>
      </xdr:blipFill>
      <xdr:spPr>
        <a:xfrm>
          <a:off x="14270183" y="5420592"/>
          <a:ext cx="3873820" cy="5004953"/>
        </a:xfrm>
        <a:prstGeom prst="rect">
          <a:avLst/>
        </a:prstGeom>
      </xdr:spPr>
    </xdr:pic>
    <xdr:clientData/>
  </xdr:twoCellAnchor>
  <xdr:twoCellAnchor editAs="oneCell">
    <xdr:from>
      <xdr:col>29</xdr:col>
      <xdr:colOff>588816</xdr:colOff>
      <xdr:row>16</xdr:row>
      <xdr:rowOff>86591</xdr:rowOff>
    </xdr:from>
    <xdr:to>
      <xdr:col>36</xdr:col>
      <xdr:colOff>155863</xdr:colOff>
      <xdr:row>40</xdr:row>
      <xdr:rowOff>158508</xdr:rowOff>
    </xdr:to>
    <xdr:pic>
      <xdr:nvPicPr>
        <xdr:cNvPr id="27" name="Picture 26">
          <a:extLst>
            <a:ext uri="{FF2B5EF4-FFF2-40B4-BE49-F238E27FC236}">
              <a16:creationId xmlns:a16="http://schemas.microsoft.com/office/drawing/2014/main" id="{00000000-0008-0000-0800-00001B000000}"/>
            </a:ext>
          </a:extLst>
        </xdr:cNvPr>
        <xdr:cNvPicPr>
          <a:picLocks noChangeAspect="1"/>
        </xdr:cNvPicPr>
      </xdr:nvPicPr>
      <xdr:blipFill>
        <a:blip xmlns:r="http://schemas.openxmlformats.org/officeDocument/2006/relationships" r:embed="rId10"/>
        <a:stretch>
          <a:fillRect/>
        </a:stretch>
      </xdr:blipFill>
      <xdr:spPr>
        <a:xfrm>
          <a:off x="18166771" y="3134591"/>
          <a:ext cx="3810001" cy="4643917"/>
        </a:xfrm>
        <a:prstGeom prst="rect">
          <a:avLst/>
        </a:prstGeom>
      </xdr:spPr>
    </xdr:pic>
    <xdr:clientData/>
  </xdr:twoCellAnchor>
  <xdr:twoCellAnchor>
    <xdr:from>
      <xdr:col>14</xdr:col>
      <xdr:colOff>467591</xdr:colOff>
      <xdr:row>2</xdr:row>
      <xdr:rowOff>34637</xdr:rowOff>
    </xdr:from>
    <xdr:to>
      <xdr:col>23</xdr:col>
      <xdr:colOff>375131</xdr:colOff>
      <xdr:row>50</xdr:row>
      <xdr:rowOff>183297</xdr:rowOff>
    </xdr:to>
    <xdr:grpSp>
      <xdr:nvGrpSpPr>
        <xdr:cNvPr id="28" name="Group 27">
          <a:extLst>
            <a:ext uri="{FF2B5EF4-FFF2-40B4-BE49-F238E27FC236}">
              <a16:creationId xmlns:a16="http://schemas.microsoft.com/office/drawing/2014/main" id="{00000000-0008-0000-0800-00001C000000}"/>
            </a:ext>
          </a:extLst>
        </xdr:cNvPr>
        <xdr:cNvGrpSpPr/>
      </xdr:nvGrpSpPr>
      <xdr:grpSpPr>
        <a:xfrm>
          <a:off x="9001991" y="415637"/>
          <a:ext cx="8480040" cy="9292660"/>
          <a:chOff x="606136" y="36385500"/>
          <a:chExt cx="5362767" cy="9292660"/>
        </a:xfrm>
      </xdr:grpSpPr>
      <xdr:pic>
        <xdr:nvPicPr>
          <xdr:cNvPr id="29" name="Picture 28">
            <a:extLst>
              <a:ext uri="{FF2B5EF4-FFF2-40B4-BE49-F238E27FC236}">
                <a16:creationId xmlns:a16="http://schemas.microsoft.com/office/drawing/2014/main" id="{00000000-0008-0000-0800-00001D000000}"/>
              </a:ext>
            </a:extLst>
          </xdr:cNvPr>
          <xdr:cNvPicPr>
            <a:picLocks noChangeAspect="1"/>
          </xdr:cNvPicPr>
        </xdr:nvPicPr>
        <xdr:blipFill>
          <a:blip xmlns:r="http://schemas.openxmlformats.org/officeDocument/2006/relationships" r:embed="rId11"/>
          <a:stretch>
            <a:fillRect/>
          </a:stretch>
        </xdr:blipFill>
        <xdr:spPr>
          <a:xfrm>
            <a:off x="606136" y="36385500"/>
            <a:ext cx="5362767" cy="7152381"/>
          </a:xfrm>
          <a:prstGeom prst="rect">
            <a:avLst/>
          </a:prstGeom>
        </xdr:spPr>
      </xdr:pic>
      <xdr:pic>
        <xdr:nvPicPr>
          <xdr:cNvPr id="30" name="Picture 29">
            <a:extLst>
              <a:ext uri="{FF2B5EF4-FFF2-40B4-BE49-F238E27FC236}">
                <a16:creationId xmlns:a16="http://schemas.microsoft.com/office/drawing/2014/main" id="{00000000-0008-0000-0800-00001E000000}"/>
              </a:ext>
            </a:extLst>
          </xdr:cNvPr>
          <xdr:cNvPicPr>
            <a:picLocks noChangeAspect="1"/>
          </xdr:cNvPicPr>
        </xdr:nvPicPr>
        <xdr:blipFill>
          <a:blip xmlns:r="http://schemas.openxmlformats.org/officeDocument/2006/relationships" r:embed="rId12"/>
          <a:stretch>
            <a:fillRect/>
          </a:stretch>
        </xdr:blipFill>
        <xdr:spPr>
          <a:xfrm>
            <a:off x="727364" y="43468636"/>
            <a:ext cx="5171429" cy="2209524"/>
          </a:xfrm>
          <a:prstGeom prst="rect">
            <a:avLst/>
          </a:prstGeom>
        </xdr:spPr>
      </xdr:pic>
    </xdr:grpSp>
    <xdr:clientData/>
  </xdr:twoCellAnchor>
  <xdr:twoCellAnchor>
    <xdr:from>
      <xdr:col>16</xdr:col>
      <xdr:colOff>329047</xdr:colOff>
      <xdr:row>229</xdr:row>
      <xdr:rowOff>34635</xdr:rowOff>
    </xdr:from>
    <xdr:to>
      <xdr:col>16</xdr:col>
      <xdr:colOff>3238501</xdr:colOff>
      <xdr:row>229</xdr:row>
      <xdr:rowOff>3419636</xdr:rowOff>
    </xdr:to>
    <xdr:pic>
      <xdr:nvPicPr>
        <xdr:cNvPr id="37" name="Picture 36">
          <a:extLst>
            <a:ext uri="{FF2B5EF4-FFF2-40B4-BE49-F238E27FC236}">
              <a16:creationId xmlns:a16="http://schemas.microsoft.com/office/drawing/2014/main" id="{00000000-0008-0000-0800-000025000000}"/>
            </a:ext>
          </a:extLst>
        </xdr:cNvPr>
        <xdr:cNvPicPr>
          <a:picLocks noChangeAspect="1"/>
        </xdr:cNvPicPr>
      </xdr:nvPicPr>
      <xdr:blipFill>
        <a:blip xmlns:r="http://schemas.openxmlformats.org/officeDocument/2006/relationships" r:embed="rId13"/>
        <a:stretch>
          <a:fillRect/>
        </a:stretch>
      </xdr:blipFill>
      <xdr:spPr>
        <a:xfrm>
          <a:off x="10027229" y="38151953"/>
          <a:ext cx="2909454" cy="3385001"/>
        </a:xfrm>
        <a:prstGeom prst="rect">
          <a:avLst/>
        </a:prstGeom>
      </xdr:spPr>
    </xdr:pic>
    <xdr:clientData/>
  </xdr:twoCellAnchor>
  <xdr:twoCellAnchor>
    <xdr:from>
      <xdr:col>16</xdr:col>
      <xdr:colOff>190500</xdr:colOff>
      <xdr:row>230</xdr:row>
      <xdr:rowOff>138545</xdr:rowOff>
    </xdr:from>
    <xdr:to>
      <xdr:col>16</xdr:col>
      <xdr:colOff>3411682</xdr:colOff>
      <xdr:row>230</xdr:row>
      <xdr:rowOff>3347658</xdr:rowOff>
    </xdr:to>
    <xdr:pic>
      <xdr:nvPicPr>
        <xdr:cNvPr id="38" name="Picture 37">
          <a:extLst>
            <a:ext uri="{FF2B5EF4-FFF2-40B4-BE49-F238E27FC236}">
              <a16:creationId xmlns:a16="http://schemas.microsoft.com/office/drawing/2014/main" id="{00000000-0008-0000-0800-000026000000}"/>
            </a:ext>
          </a:extLst>
        </xdr:cNvPr>
        <xdr:cNvPicPr>
          <a:picLocks noChangeAspect="1"/>
        </xdr:cNvPicPr>
      </xdr:nvPicPr>
      <xdr:blipFill>
        <a:blip xmlns:r="http://schemas.openxmlformats.org/officeDocument/2006/relationships" r:embed="rId14"/>
        <a:stretch>
          <a:fillRect/>
        </a:stretch>
      </xdr:blipFill>
      <xdr:spPr>
        <a:xfrm>
          <a:off x="9888682" y="41702181"/>
          <a:ext cx="3221182" cy="3209113"/>
        </a:xfrm>
        <a:prstGeom prst="rect">
          <a:avLst/>
        </a:prstGeom>
      </xdr:spPr>
    </xdr:pic>
    <xdr:clientData/>
  </xdr:twoCellAnchor>
  <xdr:twoCellAnchor>
    <xdr:from>
      <xdr:col>16</xdr:col>
      <xdr:colOff>484909</xdr:colOff>
      <xdr:row>228</xdr:row>
      <xdr:rowOff>92140</xdr:rowOff>
    </xdr:from>
    <xdr:to>
      <xdr:col>16</xdr:col>
      <xdr:colOff>3203863</xdr:colOff>
      <xdr:row>228</xdr:row>
      <xdr:rowOff>3411681</xdr:rowOff>
    </xdr:to>
    <xdr:pic>
      <xdr:nvPicPr>
        <xdr:cNvPr id="39" name="Picture 38">
          <a:extLst>
            <a:ext uri="{FF2B5EF4-FFF2-40B4-BE49-F238E27FC236}">
              <a16:creationId xmlns:a16="http://schemas.microsoft.com/office/drawing/2014/main" id="{00000000-0008-0000-0800-000027000000}"/>
            </a:ext>
          </a:extLst>
        </xdr:cNvPr>
        <xdr:cNvPicPr>
          <a:picLocks noChangeAspect="1"/>
        </xdr:cNvPicPr>
      </xdr:nvPicPr>
      <xdr:blipFill>
        <a:blip xmlns:r="http://schemas.openxmlformats.org/officeDocument/2006/relationships" r:embed="rId15"/>
        <a:stretch>
          <a:fillRect/>
        </a:stretch>
      </xdr:blipFill>
      <xdr:spPr>
        <a:xfrm>
          <a:off x="10183091" y="34763140"/>
          <a:ext cx="2718954" cy="3319541"/>
        </a:xfrm>
        <a:prstGeom prst="rect">
          <a:avLst/>
        </a:prstGeom>
      </xdr:spPr>
    </xdr:pic>
    <xdr:clientData/>
  </xdr:twoCellAnchor>
  <xdr:twoCellAnchor>
    <xdr:from>
      <xdr:col>0</xdr:col>
      <xdr:colOff>259773</xdr:colOff>
      <xdr:row>158</xdr:row>
      <xdr:rowOff>0</xdr:rowOff>
    </xdr:from>
    <xdr:to>
      <xdr:col>16</xdr:col>
      <xdr:colOff>3569817</xdr:colOff>
      <xdr:row>178</xdr:row>
      <xdr:rowOff>121227</xdr:rowOff>
    </xdr:to>
    <xdr:grpSp>
      <xdr:nvGrpSpPr>
        <xdr:cNvPr id="6" name="Group 5">
          <a:extLst>
            <a:ext uri="{FF2B5EF4-FFF2-40B4-BE49-F238E27FC236}">
              <a16:creationId xmlns:a16="http://schemas.microsoft.com/office/drawing/2014/main" id="{00000000-0008-0000-0800-000006000000}"/>
            </a:ext>
          </a:extLst>
        </xdr:cNvPr>
        <xdr:cNvGrpSpPr/>
      </xdr:nvGrpSpPr>
      <xdr:grpSpPr>
        <a:xfrm>
          <a:off x="259773" y="30099000"/>
          <a:ext cx="13063644" cy="3931227"/>
          <a:chOff x="259773" y="30809046"/>
          <a:chExt cx="13008226" cy="4294910"/>
        </a:xfrm>
      </xdr:grpSpPr>
      <xdr:grpSp>
        <xdr:nvGrpSpPr>
          <xdr:cNvPr id="32" name="Group 31">
            <a:extLst>
              <a:ext uri="{FF2B5EF4-FFF2-40B4-BE49-F238E27FC236}">
                <a16:creationId xmlns:a16="http://schemas.microsoft.com/office/drawing/2014/main" id="{00000000-0008-0000-0800-000020000000}"/>
              </a:ext>
            </a:extLst>
          </xdr:cNvPr>
          <xdr:cNvGrpSpPr/>
        </xdr:nvGrpSpPr>
        <xdr:grpSpPr>
          <a:xfrm>
            <a:off x="259773" y="30809046"/>
            <a:ext cx="9646227" cy="4294910"/>
            <a:chOff x="304800" y="27679650"/>
            <a:chExt cx="14248762" cy="5619054"/>
          </a:xfrm>
        </xdr:grpSpPr>
        <xdr:pic>
          <xdr:nvPicPr>
            <xdr:cNvPr id="33" name="Picture 32">
              <a:extLst>
                <a:ext uri="{FF2B5EF4-FFF2-40B4-BE49-F238E27FC236}">
                  <a16:creationId xmlns:a16="http://schemas.microsoft.com/office/drawing/2014/main" id="{00000000-0008-0000-0800-000021000000}"/>
                </a:ext>
              </a:extLst>
            </xdr:cNvPr>
            <xdr:cNvPicPr>
              <a:picLocks noChangeAspect="1"/>
            </xdr:cNvPicPr>
          </xdr:nvPicPr>
          <xdr:blipFill>
            <a:blip xmlns:r="http://schemas.openxmlformats.org/officeDocument/2006/relationships" r:embed="rId13"/>
            <a:stretch>
              <a:fillRect/>
            </a:stretch>
          </xdr:blipFill>
          <xdr:spPr>
            <a:xfrm>
              <a:off x="4876800" y="27679650"/>
              <a:ext cx="4733333" cy="5352381"/>
            </a:xfrm>
            <a:prstGeom prst="rect">
              <a:avLst/>
            </a:prstGeom>
          </xdr:spPr>
        </xdr:pic>
        <xdr:pic>
          <xdr:nvPicPr>
            <xdr:cNvPr id="34" name="Picture 33">
              <a:extLst>
                <a:ext uri="{FF2B5EF4-FFF2-40B4-BE49-F238E27FC236}">
                  <a16:creationId xmlns:a16="http://schemas.microsoft.com/office/drawing/2014/main" id="{00000000-0008-0000-0800-000022000000}"/>
                </a:ext>
              </a:extLst>
            </xdr:cNvPr>
            <xdr:cNvPicPr>
              <a:picLocks noChangeAspect="1"/>
            </xdr:cNvPicPr>
          </xdr:nvPicPr>
          <xdr:blipFill>
            <a:blip xmlns:r="http://schemas.openxmlformats.org/officeDocument/2006/relationships" r:embed="rId14"/>
            <a:stretch>
              <a:fillRect/>
            </a:stretch>
          </xdr:blipFill>
          <xdr:spPr>
            <a:xfrm>
              <a:off x="9448800" y="27736800"/>
              <a:ext cx="5104762" cy="4942857"/>
            </a:xfrm>
            <a:prstGeom prst="rect">
              <a:avLst/>
            </a:prstGeom>
          </xdr:spPr>
        </xdr:pic>
        <xdr:pic>
          <xdr:nvPicPr>
            <xdr:cNvPr id="35" name="Picture 34">
              <a:extLst>
                <a:ext uri="{FF2B5EF4-FFF2-40B4-BE49-F238E27FC236}">
                  <a16:creationId xmlns:a16="http://schemas.microsoft.com/office/drawing/2014/main" id="{00000000-0008-0000-0800-000023000000}"/>
                </a:ext>
              </a:extLst>
            </xdr:cNvPr>
            <xdr:cNvPicPr>
              <a:picLocks noChangeAspect="1"/>
            </xdr:cNvPicPr>
          </xdr:nvPicPr>
          <xdr:blipFill>
            <a:blip xmlns:r="http://schemas.openxmlformats.org/officeDocument/2006/relationships" r:embed="rId15"/>
            <a:stretch>
              <a:fillRect/>
            </a:stretch>
          </xdr:blipFill>
          <xdr:spPr>
            <a:xfrm>
              <a:off x="304800" y="27727275"/>
              <a:ext cx="4695238" cy="5571429"/>
            </a:xfrm>
            <a:prstGeom prst="rect">
              <a:avLst/>
            </a:prstGeom>
          </xdr:spPr>
        </xdr:pic>
      </xdr:grpSp>
      <xdr:pic>
        <xdr:nvPicPr>
          <xdr:cNvPr id="40" name="Picture 39">
            <a:extLst>
              <a:ext uri="{FF2B5EF4-FFF2-40B4-BE49-F238E27FC236}">
                <a16:creationId xmlns:a16="http://schemas.microsoft.com/office/drawing/2014/main" id="{00000000-0008-0000-0800-000028000000}"/>
              </a:ext>
            </a:extLst>
          </xdr:cNvPr>
          <xdr:cNvPicPr>
            <a:picLocks noChangeAspect="1"/>
          </xdr:cNvPicPr>
        </xdr:nvPicPr>
        <xdr:blipFill>
          <a:blip xmlns:r="http://schemas.openxmlformats.org/officeDocument/2006/relationships" r:embed="rId16"/>
          <a:stretch>
            <a:fillRect/>
          </a:stretch>
        </xdr:blipFill>
        <xdr:spPr>
          <a:xfrm>
            <a:off x="9888682" y="30826363"/>
            <a:ext cx="3379317" cy="3463637"/>
          </a:xfrm>
          <a:prstGeom prst="rect">
            <a:avLst/>
          </a:prstGeom>
        </xdr:spPr>
      </xdr:pic>
    </xdr:grpSp>
    <xdr:clientData/>
  </xdr:twoCellAnchor>
  <xdr:twoCellAnchor editAs="oneCell">
    <xdr:from>
      <xdr:col>16</xdr:col>
      <xdr:colOff>277091</xdr:colOff>
      <xdr:row>231</xdr:row>
      <xdr:rowOff>138547</xdr:rowOff>
    </xdr:from>
    <xdr:to>
      <xdr:col>16</xdr:col>
      <xdr:colOff>3352268</xdr:colOff>
      <xdr:row>231</xdr:row>
      <xdr:rowOff>3290455</xdr:rowOff>
    </xdr:to>
    <xdr:pic>
      <xdr:nvPicPr>
        <xdr:cNvPr id="41" name="Picture 40">
          <a:extLst>
            <a:ext uri="{FF2B5EF4-FFF2-40B4-BE49-F238E27FC236}">
              <a16:creationId xmlns:a16="http://schemas.microsoft.com/office/drawing/2014/main" id="{00000000-0008-0000-0800-000029000000}"/>
            </a:ext>
          </a:extLst>
        </xdr:cNvPr>
        <xdr:cNvPicPr>
          <a:picLocks noChangeAspect="1"/>
        </xdr:cNvPicPr>
      </xdr:nvPicPr>
      <xdr:blipFill>
        <a:blip xmlns:r="http://schemas.openxmlformats.org/officeDocument/2006/relationships" r:embed="rId16"/>
        <a:stretch>
          <a:fillRect/>
        </a:stretch>
      </xdr:blipFill>
      <xdr:spPr>
        <a:xfrm>
          <a:off x="9975273" y="45148502"/>
          <a:ext cx="3075177" cy="3151908"/>
        </a:xfrm>
        <a:prstGeom prst="rect">
          <a:avLst/>
        </a:prstGeom>
      </xdr:spPr>
    </xdr:pic>
    <xdr:clientData/>
  </xdr:twoCellAnchor>
</xdr:wsDr>
</file>

<file path=xl/drawings/drawing10.xml><?xml version="1.0" encoding="utf-8"?>
<xdr:wsDr xmlns:xdr="http://schemas.openxmlformats.org/drawingml/2006/spreadsheetDrawing" xmlns:a="http://schemas.openxmlformats.org/drawingml/2006/main">
  <xdr:twoCellAnchor editAs="oneCell">
    <xdr:from>
      <xdr:col>8</xdr:col>
      <xdr:colOff>627529</xdr:colOff>
      <xdr:row>0</xdr:row>
      <xdr:rowOff>67235</xdr:rowOff>
    </xdr:from>
    <xdr:to>
      <xdr:col>8</xdr:col>
      <xdr:colOff>1928005</xdr:colOff>
      <xdr:row>1</xdr:row>
      <xdr:rowOff>182484</xdr:rowOff>
    </xdr:to>
    <xdr:pic>
      <xdr:nvPicPr>
        <xdr:cNvPr id="3" name="Picture 2">
          <a:extLst>
            <a:ext uri="{FF2B5EF4-FFF2-40B4-BE49-F238E27FC236}">
              <a16:creationId xmlns:a16="http://schemas.microsoft.com/office/drawing/2014/main" id="{00000000-0008-0000-0900-000003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7082117" y="2028264"/>
          <a:ext cx="1300476" cy="38419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11.xml><?xml version="1.0" encoding="utf-8"?>
<xdr:wsDr xmlns:xdr="http://schemas.openxmlformats.org/drawingml/2006/spreadsheetDrawing" xmlns:a="http://schemas.openxmlformats.org/drawingml/2006/main">
  <xdr:twoCellAnchor editAs="oneCell">
    <xdr:from>
      <xdr:col>0</xdr:col>
      <xdr:colOff>1</xdr:colOff>
      <xdr:row>3</xdr:row>
      <xdr:rowOff>1</xdr:rowOff>
    </xdr:from>
    <xdr:to>
      <xdr:col>8</xdr:col>
      <xdr:colOff>370820</xdr:colOff>
      <xdr:row>14</xdr:row>
      <xdr:rowOff>75930</xdr:rowOff>
    </xdr:to>
    <xdr:pic>
      <xdr:nvPicPr>
        <xdr:cNvPr id="3" name="Picture 2">
          <a:extLst>
            <a:ext uri="{FF2B5EF4-FFF2-40B4-BE49-F238E27FC236}">
              <a16:creationId xmlns:a16="http://schemas.microsoft.com/office/drawing/2014/main" id="{00000000-0008-0000-0A00-000003000000}"/>
            </a:ext>
          </a:extLst>
        </xdr:cNvPr>
        <xdr:cNvPicPr>
          <a:picLocks noChangeAspect="1"/>
        </xdr:cNvPicPr>
      </xdr:nvPicPr>
      <xdr:blipFill>
        <a:blip xmlns:r="http://schemas.openxmlformats.org/officeDocument/2006/relationships" r:embed="rId1"/>
        <a:stretch>
          <a:fillRect/>
        </a:stretch>
      </xdr:blipFill>
      <xdr:spPr>
        <a:xfrm>
          <a:off x="1" y="571501"/>
          <a:ext cx="5247619" cy="2171429"/>
        </a:xfrm>
        <a:prstGeom prst="rect">
          <a:avLst/>
        </a:prstGeom>
      </xdr:spPr>
    </xdr:pic>
    <xdr:clientData/>
  </xdr:twoCellAnchor>
  <xdr:twoCellAnchor editAs="oneCell">
    <xdr:from>
      <xdr:col>8</xdr:col>
      <xdr:colOff>504827</xdr:colOff>
      <xdr:row>3</xdr:row>
      <xdr:rowOff>17689</xdr:rowOff>
    </xdr:from>
    <xdr:to>
      <xdr:col>17</xdr:col>
      <xdr:colOff>380331</xdr:colOff>
      <xdr:row>41</xdr:row>
      <xdr:rowOff>7260</xdr:rowOff>
    </xdr:to>
    <xdr:pic>
      <xdr:nvPicPr>
        <xdr:cNvPr id="4" name="Picture 3">
          <a:extLst>
            <a:ext uri="{FF2B5EF4-FFF2-40B4-BE49-F238E27FC236}">
              <a16:creationId xmlns:a16="http://schemas.microsoft.com/office/drawing/2014/main" id="{00000000-0008-0000-0A00-000004000000}"/>
            </a:ext>
          </a:extLst>
        </xdr:cNvPr>
        <xdr:cNvPicPr>
          <a:picLocks noChangeAspect="1"/>
        </xdr:cNvPicPr>
      </xdr:nvPicPr>
      <xdr:blipFill>
        <a:blip xmlns:r="http://schemas.openxmlformats.org/officeDocument/2006/relationships" r:embed="rId2"/>
        <a:stretch>
          <a:fillRect/>
        </a:stretch>
      </xdr:blipFill>
      <xdr:spPr>
        <a:xfrm>
          <a:off x="5403398" y="589189"/>
          <a:ext cx="5386397" cy="7228571"/>
        </a:xfrm>
        <a:prstGeom prst="rect">
          <a:avLst/>
        </a:prstGeom>
      </xdr:spPr>
    </xdr:pic>
    <xdr:clientData/>
  </xdr:twoCellAnchor>
  <xdr:twoCellAnchor editAs="oneCell">
    <xdr:from>
      <xdr:col>17</xdr:col>
      <xdr:colOff>394607</xdr:colOff>
      <xdr:row>3</xdr:row>
      <xdr:rowOff>54429</xdr:rowOff>
    </xdr:from>
    <xdr:to>
      <xdr:col>26</xdr:col>
      <xdr:colOff>198000</xdr:colOff>
      <xdr:row>40</xdr:row>
      <xdr:rowOff>53548</xdr:rowOff>
    </xdr:to>
    <xdr:pic>
      <xdr:nvPicPr>
        <xdr:cNvPr id="5" name="Picture 4">
          <a:extLst>
            <a:ext uri="{FF2B5EF4-FFF2-40B4-BE49-F238E27FC236}">
              <a16:creationId xmlns:a16="http://schemas.microsoft.com/office/drawing/2014/main" id="{00000000-0008-0000-0A00-000005000000}"/>
            </a:ext>
          </a:extLst>
        </xdr:cNvPr>
        <xdr:cNvPicPr>
          <a:picLocks noChangeAspect="1"/>
        </xdr:cNvPicPr>
      </xdr:nvPicPr>
      <xdr:blipFill>
        <a:blip xmlns:r="http://schemas.openxmlformats.org/officeDocument/2006/relationships" r:embed="rId3"/>
        <a:stretch>
          <a:fillRect/>
        </a:stretch>
      </xdr:blipFill>
      <xdr:spPr>
        <a:xfrm>
          <a:off x="10804071" y="625929"/>
          <a:ext cx="5314286" cy="7047619"/>
        </a:xfrm>
        <a:prstGeom prst="rect">
          <a:avLst/>
        </a:prstGeom>
      </xdr:spPr>
    </xdr:pic>
    <xdr:clientData/>
  </xdr:twoCellAnchor>
  <xdr:twoCellAnchor editAs="oneCell">
    <xdr:from>
      <xdr:col>26</xdr:col>
      <xdr:colOff>176893</xdr:colOff>
      <xdr:row>3</xdr:row>
      <xdr:rowOff>54429</xdr:rowOff>
    </xdr:from>
    <xdr:to>
      <xdr:col>34</xdr:col>
      <xdr:colOff>602130</xdr:colOff>
      <xdr:row>27</xdr:row>
      <xdr:rowOff>158619</xdr:rowOff>
    </xdr:to>
    <xdr:pic>
      <xdr:nvPicPr>
        <xdr:cNvPr id="6" name="Picture 5">
          <a:extLst>
            <a:ext uri="{FF2B5EF4-FFF2-40B4-BE49-F238E27FC236}">
              <a16:creationId xmlns:a16="http://schemas.microsoft.com/office/drawing/2014/main" id="{00000000-0008-0000-0A00-000006000000}"/>
            </a:ext>
          </a:extLst>
        </xdr:cNvPr>
        <xdr:cNvPicPr>
          <a:picLocks noChangeAspect="1"/>
        </xdr:cNvPicPr>
      </xdr:nvPicPr>
      <xdr:blipFill>
        <a:blip xmlns:r="http://schemas.openxmlformats.org/officeDocument/2006/relationships" r:embed="rId4"/>
        <a:stretch>
          <a:fillRect/>
        </a:stretch>
      </xdr:blipFill>
      <xdr:spPr>
        <a:xfrm>
          <a:off x="16097250" y="625929"/>
          <a:ext cx="5323809" cy="4676190"/>
        </a:xfrm>
        <a:prstGeom prst="rect">
          <a:avLst/>
        </a:prstGeom>
      </xdr:spPr>
    </xdr:pic>
    <xdr:clientData/>
  </xdr:twoCellAnchor>
  <xdr:twoCellAnchor editAs="oneCell">
    <xdr:from>
      <xdr:col>5</xdr:col>
      <xdr:colOff>108858</xdr:colOff>
      <xdr:row>46</xdr:row>
      <xdr:rowOff>81644</xdr:rowOff>
    </xdr:from>
    <xdr:to>
      <xdr:col>14</xdr:col>
      <xdr:colOff>74155</xdr:colOff>
      <xdr:row>80</xdr:row>
      <xdr:rowOff>128453</xdr:rowOff>
    </xdr:to>
    <xdr:pic>
      <xdr:nvPicPr>
        <xdr:cNvPr id="8" name="Picture 7">
          <a:extLst>
            <a:ext uri="{FF2B5EF4-FFF2-40B4-BE49-F238E27FC236}">
              <a16:creationId xmlns:a16="http://schemas.microsoft.com/office/drawing/2014/main" id="{00000000-0008-0000-0A00-000008000000}"/>
            </a:ext>
          </a:extLst>
        </xdr:cNvPr>
        <xdr:cNvPicPr>
          <a:picLocks noChangeAspect="1"/>
        </xdr:cNvPicPr>
      </xdr:nvPicPr>
      <xdr:blipFill>
        <a:blip xmlns:r="http://schemas.openxmlformats.org/officeDocument/2006/relationships" r:embed="rId5"/>
        <a:stretch>
          <a:fillRect/>
        </a:stretch>
      </xdr:blipFill>
      <xdr:spPr>
        <a:xfrm>
          <a:off x="3170465" y="8844644"/>
          <a:ext cx="5476190" cy="6523809"/>
        </a:xfrm>
        <a:prstGeom prst="rect">
          <a:avLst/>
        </a:prstGeom>
      </xdr:spPr>
    </xdr:pic>
    <xdr:clientData/>
  </xdr:twoCellAnchor>
  <xdr:twoCellAnchor>
    <xdr:from>
      <xdr:col>14</xdr:col>
      <xdr:colOff>126175</xdr:colOff>
      <xdr:row>46</xdr:row>
      <xdr:rowOff>79170</xdr:rowOff>
    </xdr:from>
    <xdr:to>
      <xdr:col>22</xdr:col>
      <xdr:colOff>588032</xdr:colOff>
      <xdr:row>72</xdr:row>
      <xdr:rowOff>146523</xdr:rowOff>
    </xdr:to>
    <xdr:grpSp>
      <xdr:nvGrpSpPr>
        <xdr:cNvPr id="24" name="Group 23">
          <a:extLst>
            <a:ext uri="{FF2B5EF4-FFF2-40B4-BE49-F238E27FC236}">
              <a16:creationId xmlns:a16="http://schemas.microsoft.com/office/drawing/2014/main" id="{00000000-0008-0000-0A00-000018000000}"/>
            </a:ext>
          </a:extLst>
        </xdr:cNvPr>
        <xdr:cNvGrpSpPr/>
      </xdr:nvGrpSpPr>
      <xdr:grpSpPr>
        <a:xfrm>
          <a:off x="8597822" y="8842170"/>
          <a:ext cx="5302798" cy="5020353"/>
          <a:chOff x="13447568" y="8624455"/>
          <a:chExt cx="5360428" cy="5020353"/>
        </a:xfrm>
      </xdr:grpSpPr>
      <xdr:pic>
        <xdr:nvPicPr>
          <xdr:cNvPr id="11" name="Picture 10">
            <a:extLst>
              <a:ext uri="{FF2B5EF4-FFF2-40B4-BE49-F238E27FC236}">
                <a16:creationId xmlns:a16="http://schemas.microsoft.com/office/drawing/2014/main" id="{00000000-0008-0000-0A00-00000B000000}"/>
              </a:ext>
            </a:extLst>
          </xdr:cNvPr>
          <xdr:cNvPicPr>
            <a:picLocks noChangeAspect="1"/>
          </xdr:cNvPicPr>
        </xdr:nvPicPr>
        <xdr:blipFill>
          <a:blip xmlns:r="http://schemas.openxmlformats.org/officeDocument/2006/relationships" r:embed="rId6"/>
          <a:stretch>
            <a:fillRect/>
          </a:stretch>
        </xdr:blipFill>
        <xdr:spPr>
          <a:xfrm>
            <a:off x="13447568" y="8624455"/>
            <a:ext cx="5360428" cy="3571429"/>
          </a:xfrm>
          <a:prstGeom prst="rect">
            <a:avLst/>
          </a:prstGeom>
        </xdr:spPr>
      </xdr:pic>
      <xdr:pic>
        <xdr:nvPicPr>
          <xdr:cNvPr id="12" name="Picture 11">
            <a:extLst>
              <a:ext uri="{FF2B5EF4-FFF2-40B4-BE49-F238E27FC236}">
                <a16:creationId xmlns:a16="http://schemas.microsoft.com/office/drawing/2014/main" id="{00000000-0008-0000-0A00-00000C000000}"/>
              </a:ext>
            </a:extLst>
          </xdr:cNvPr>
          <xdr:cNvPicPr>
            <a:picLocks noChangeAspect="1"/>
          </xdr:cNvPicPr>
        </xdr:nvPicPr>
        <xdr:blipFill>
          <a:blip xmlns:r="http://schemas.openxmlformats.org/officeDocument/2006/relationships" r:embed="rId7"/>
          <a:stretch>
            <a:fillRect/>
          </a:stretch>
        </xdr:blipFill>
        <xdr:spPr>
          <a:xfrm>
            <a:off x="13447568" y="12140046"/>
            <a:ext cx="5293761" cy="1504762"/>
          </a:xfrm>
          <a:prstGeom prst="rect">
            <a:avLst/>
          </a:prstGeom>
        </xdr:spPr>
      </xdr:pic>
    </xdr:grpSp>
    <xdr:clientData/>
  </xdr:twoCellAnchor>
  <xdr:twoCellAnchor>
    <xdr:from>
      <xdr:col>5</xdr:col>
      <xdr:colOff>0</xdr:colOff>
      <xdr:row>85</xdr:row>
      <xdr:rowOff>0</xdr:rowOff>
    </xdr:from>
    <xdr:to>
      <xdr:col>13</xdr:col>
      <xdr:colOff>460611</xdr:colOff>
      <xdr:row>125</xdr:row>
      <xdr:rowOff>65250</xdr:rowOff>
    </xdr:to>
    <xdr:grpSp>
      <xdr:nvGrpSpPr>
        <xdr:cNvPr id="14" name="Group 13">
          <a:extLst>
            <a:ext uri="{FF2B5EF4-FFF2-40B4-BE49-F238E27FC236}">
              <a16:creationId xmlns:a16="http://schemas.microsoft.com/office/drawing/2014/main" id="{00000000-0008-0000-0A00-00000E000000}"/>
            </a:ext>
          </a:extLst>
        </xdr:cNvPr>
        <xdr:cNvGrpSpPr/>
      </xdr:nvGrpSpPr>
      <xdr:grpSpPr>
        <a:xfrm>
          <a:off x="3025588" y="16192500"/>
          <a:ext cx="5301552" cy="7685250"/>
          <a:chOff x="7503721" y="16018081"/>
          <a:chExt cx="5306239" cy="7685250"/>
        </a:xfrm>
      </xdr:grpSpPr>
      <xdr:pic>
        <xdr:nvPicPr>
          <xdr:cNvPr id="7" name="Picture 6">
            <a:extLst>
              <a:ext uri="{FF2B5EF4-FFF2-40B4-BE49-F238E27FC236}">
                <a16:creationId xmlns:a16="http://schemas.microsoft.com/office/drawing/2014/main" id="{00000000-0008-0000-0A00-000007000000}"/>
              </a:ext>
            </a:extLst>
          </xdr:cNvPr>
          <xdr:cNvPicPr>
            <a:picLocks noChangeAspect="1"/>
          </xdr:cNvPicPr>
        </xdr:nvPicPr>
        <xdr:blipFill>
          <a:blip xmlns:r="http://schemas.openxmlformats.org/officeDocument/2006/relationships" r:embed="rId8"/>
          <a:stretch>
            <a:fillRect/>
          </a:stretch>
        </xdr:blipFill>
        <xdr:spPr>
          <a:xfrm>
            <a:off x="7503721" y="16018081"/>
            <a:ext cx="5306239" cy="7247619"/>
          </a:xfrm>
          <a:prstGeom prst="rect">
            <a:avLst/>
          </a:prstGeom>
        </xdr:spPr>
      </xdr:pic>
      <xdr:pic>
        <xdr:nvPicPr>
          <xdr:cNvPr id="13" name="Picture 12">
            <a:extLst>
              <a:ext uri="{FF2B5EF4-FFF2-40B4-BE49-F238E27FC236}">
                <a16:creationId xmlns:a16="http://schemas.microsoft.com/office/drawing/2014/main" id="{00000000-0008-0000-0A00-00000D000000}"/>
              </a:ext>
            </a:extLst>
          </xdr:cNvPr>
          <xdr:cNvPicPr>
            <a:picLocks noChangeAspect="1"/>
          </xdr:cNvPicPr>
        </xdr:nvPicPr>
        <xdr:blipFill>
          <a:blip xmlns:r="http://schemas.openxmlformats.org/officeDocument/2006/relationships" r:embed="rId9"/>
          <a:stretch>
            <a:fillRect/>
          </a:stretch>
        </xdr:blipFill>
        <xdr:spPr>
          <a:xfrm>
            <a:off x="7516090" y="23189045"/>
            <a:ext cx="5200000" cy="514286"/>
          </a:xfrm>
          <a:prstGeom prst="rect">
            <a:avLst/>
          </a:prstGeom>
        </xdr:spPr>
      </xdr:pic>
    </xdr:grpSp>
    <xdr:clientData/>
  </xdr:twoCellAnchor>
  <xdr:twoCellAnchor>
    <xdr:from>
      <xdr:col>14</xdr:col>
      <xdr:colOff>0</xdr:colOff>
      <xdr:row>85</xdr:row>
      <xdr:rowOff>0</xdr:rowOff>
    </xdr:from>
    <xdr:to>
      <xdr:col>22</xdr:col>
      <xdr:colOff>484242</xdr:colOff>
      <xdr:row>129</xdr:row>
      <xdr:rowOff>146836</xdr:rowOff>
    </xdr:to>
    <xdr:grpSp>
      <xdr:nvGrpSpPr>
        <xdr:cNvPr id="17" name="Group 16">
          <a:extLst>
            <a:ext uri="{FF2B5EF4-FFF2-40B4-BE49-F238E27FC236}">
              <a16:creationId xmlns:a16="http://schemas.microsoft.com/office/drawing/2014/main" id="{00000000-0008-0000-0A00-000011000000}"/>
            </a:ext>
          </a:extLst>
        </xdr:cNvPr>
        <xdr:cNvGrpSpPr/>
      </xdr:nvGrpSpPr>
      <xdr:grpSpPr>
        <a:xfrm>
          <a:off x="8471647" y="16192500"/>
          <a:ext cx="5325183" cy="8528836"/>
          <a:chOff x="12798137" y="16019318"/>
          <a:chExt cx="5333333" cy="8528836"/>
        </a:xfrm>
      </xdr:grpSpPr>
      <xdr:pic>
        <xdr:nvPicPr>
          <xdr:cNvPr id="15" name="Picture 14">
            <a:extLst>
              <a:ext uri="{FF2B5EF4-FFF2-40B4-BE49-F238E27FC236}">
                <a16:creationId xmlns:a16="http://schemas.microsoft.com/office/drawing/2014/main" id="{00000000-0008-0000-0A00-00000F000000}"/>
              </a:ext>
            </a:extLst>
          </xdr:cNvPr>
          <xdr:cNvPicPr>
            <a:picLocks noChangeAspect="1"/>
          </xdr:cNvPicPr>
        </xdr:nvPicPr>
        <xdr:blipFill>
          <a:blip xmlns:r="http://schemas.openxmlformats.org/officeDocument/2006/relationships" r:embed="rId10"/>
          <a:stretch>
            <a:fillRect/>
          </a:stretch>
        </xdr:blipFill>
        <xdr:spPr>
          <a:xfrm>
            <a:off x="12798137" y="16019318"/>
            <a:ext cx="5333333" cy="5666667"/>
          </a:xfrm>
          <a:prstGeom prst="rect">
            <a:avLst/>
          </a:prstGeom>
        </xdr:spPr>
      </xdr:pic>
      <xdr:pic>
        <xdr:nvPicPr>
          <xdr:cNvPr id="16" name="Picture 15">
            <a:extLst>
              <a:ext uri="{FF2B5EF4-FFF2-40B4-BE49-F238E27FC236}">
                <a16:creationId xmlns:a16="http://schemas.microsoft.com/office/drawing/2014/main" id="{00000000-0008-0000-0A00-000010000000}"/>
              </a:ext>
            </a:extLst>
          </xdr:cNvPr>
          <xdr:cNvPicPr>
            <a:picLocks noChangeAspect="1"/>
          </xdr:cNvPicPr>
        </xdr:nvPicPr>
        <xdr:blipFill>
          <a:blip xmlns:r="http://schemas.openxmlformats.org/officeDocument/2006/relationships" r:embed="rId11"/>
          <a:stretch>
            <a:fillRect/>
          </a:stretch>
        </xdr:blipFill>
        <xdr:spPr>
          <a:xfrm>
            <a:off x="12832773" y="21595773"/>
            <a:ext cx="5257143" cy="2952381"/>
          </a:xfrm>
          <a:prstGeom prst="rect">
            <a:avLst/>
          </a:prstGeom>
        </xdr:spPr>
      </xdr:pic>
    </xdr:grpSp>
    <xdr:clientData/>
  </xdr:twoCellAnchor>
  <xdr:twoCellAnchor>
    <xdr:from>
      <xdr:col>4</xdr:col>
      <xdr:colOff>571500</xdr:colOff>
      <xdr:row>132</xdr:row>
      <xdr:rowOff>27215</xdr:rowOff>
    </xdr:from>
    <xdr:to>
      <xdr:col>13</xdr:col>
      <xdr:colOff>380999</xdr:colOff>
      <xdr:row>171</xdr:row>
      <xdr:rowOff>175060</xdr:rowOff>
    </xdr:to>
    <xdr:grpSp>
      <xdr:nvGrpSpPr>
        <xdr:cNvPr id="21" name="Group 20">
          <a:extLst>
            <a:ext uri="{FF2B5EF4-FFF2-40B4-BE49-F238E27FC236}">
              <a16:creationId xmlns:a16="http://schemas.microsoft.com/office/drawing/2014/main" id="{00000000-0008-0000-0A00-000015000000}"/>
            </a:ext>
          </a:extLst>
        </xdr:cNvPr>
        <xdr:cNvGrpSpPr/>
      </xdr:nvGrpSpPr>
      <xdr:grpSpPr>
        <a:xfrm>
          <a:off x="2991971" y="25173215"/>
          <a:ext cx="5255557" cy="7577345"/>
          <a:chOff x="3864429" y="25146000"/>
          <a:chExt cx="5320392" cy="7386845"/>
        </a:xfrm>
      </xdr:grpSpPr>
      <xdr:pic>
        <xdr:nvPicPr>
          <xdr:cNvPr id="18" name="Picture 17">
            <a:extLst>
              <a:ext uri="{FF2B5EF4-FFF2-40B4-BE49-F238E27FC236}">
                <a16:creationId xmlns:a16="http://schemas.microsoft.com/office/drawing/2014/main" id="{00000000-0008-0000-0A00-000012000000}"/>
              </a:ext>
            </a:extLst>
          </xdr:cNvPr>
          <xdr:cNvPicPr>
            <a:picLocks noChangeAspect="1"/>
          </xdr:cNvPicPr>
        </xdr:nvPicPr>
        <xdr:blipFill>
          <a:blip xmlns:r="http://schemas.openxmlformats.org/officeDocument/2006/relationships" r:embed="rId12"/>
          <a:stretch>
            <a:fillRect/>
          </a:stretch>
        </xdr:blipFill>
        <xdr:spPr>
          <a:xfrm>
            <a:off x="3922234" y="25146000"/>
            <a:ext cx="5262587" cy="3657143"/>
          </a:xfrm>
          <a:prstGeom prst="rect">
            <a:avLst/>
          </a:prstGeom>
        </xdr:spPr>
      </xdr:pic>
      <xdr:pic>
        <xdr:nvPicPr>
          <xdr:cNvPr id="20" name="Picture 19">
            <a:extLst>
              <a:ext uri="{FF2B5EF4-FFF2-40B4-BE49-F238E27FC236}">
                <a16:creationId xmlns:a16="http://schemas.microsoft.com/office/drawing/2014/main" id="{00000000-0008-0000-0A00-000014000000}"/>
              </a:ext>
            </a:extLst>
          </xdr:cNvPr>
          <xdr:cNvPicPr>
            <a:picLocks noChangeAspect="1"/>
          </xdr:cNvPicPr>
        </xdr:nvPicPr>
        <xdr:blipFill>
          <a:blip xmlns:r="http://schemas.openxmlformats.org/officeDocument/2006/relationships" r:embed="rId13"/>
          <a:stretch>
            <a:fillRect/>
          </a:stretch>
        </xdr:blipFill>
        <xdr:spPr>
          <a:xfrm>
            <a:off x="3864429" y="28751893"/>
            <a:ext cx="5276190" cy="3780952"/>
          </a:xfrm>
          <a:prstGeom prst="rect">
            <a:avLst/>
          </a:prstGeom>
        </xdr:spPr>
      </xdr:pic>
    </xdr:grpSp>
    <xdr:clientData/>
  </xdr:twoCellAnchor>
  <xdr:twoCellAnchor editAs="oneCell">
    <xdr:from>
      <xdr:col>13</xdr:col>
      <xdr:colOff>340178</xdr:colOff>
      <xdr:row>131</xdr:row>
      <xdr:rowOff>122465</xdr:rowOff>
    </xdr:from>
    <xdr:to>
      <xdr:col>22</xdr:col>
      <xdr:colOff>124524</xdr:colOff>
      <xdr:row>167</xdr:row>
      <xdr:rowOff>93036</xdr:rowOff>
    </xdr:to>
    <xdr:pic>
      <xdr:nvPicPr>
        <xdr:cNvPr id="22" name="Picture 21">
          <a:extLst>
            <a:ext uri="{FF2B5EF4-FFF2-40B4-BE49-F238E27FC236}">
              <a16:creationId xmlns:a16="http://schemas.microsoft.com/office/drawing/2014/main" id="{00000000-0008-0000-0A00-000016000000}"/>
            </a:ext>
          </a:extLst>
        </xdr:cNvPr>
        <xdr:cNvPicPr>
          <a:picLocks noChangeAspect="1"/>
        </xdr:cNvPicPr>
      </xdr:nvPicPr>
      <xdr:blipFill>
        <a:blip xmlns:r="http://schemas.openxmlformats.org/officeDocument/2006/relationships" r:embed="rId14"/>
        <a:stretch>
          <a:fillRect/>
        </a:stretch>
      </xdr:blipFill>
      <xdr:spPr>
        <a:xfrm>
          <a:off x="8300357" y="25077965"/>
          <a:ext cx="5295238" cy="6828571"/>
        </a:xfrm>
        <a:prstGeom prst="rect">
          <a:avLst/>
        </a:prstGeom>
      </xdr:spPr>
    </xdr:pic>
    <xdr:clientData/>
  </xdr:twoCellAnchor>
  <xdr:twoCellAnchor editAs="oneCell">
    <xdr:from>
      <xdr:col>22</xdr:col>
      <xdr:colOff>95250</xdr:colOff>
      <xdr:row>131</xdr:row>
      <xdr:rowOff>74143</xdr:rowOff>
    </xdr:from>
    <xdr:to>
      <xdr:col>30</xdr:col>
      <xdr:colOff>501440</xdr:colOff>
      <xdr:row>159</xdr:row>
      <xdr:rowOff>54429</xdr:rowOff>
    </xdr:to>
    <xdr:pic>
      <xdr:nvPicPr>
        <xdr:cNvPr id="23" name="Picture 22">
          <a:extLst>
            <a:ext uri="{FF2B5EF4-FFF2-40B4-BE49-F238E27FC236}">
              <a16:creationId xmlns:a16="http://schemas.microsoft.com/office/drawing/2014/main" id="{00000000-0008-0000-0A00-000017000000}"/>
            </a:ext>
          </a:extLst>
        </xdr:cNvPr>
        <xdr:cNvPicPr>
          <a:picLocks noChangeAspect="1"/>
        </xdr:cNvPicPr>
      </xdr:nvPicPr>
      <xdr:blipFill>
        <a:blip xmlns:r="http://schemas.openxmlformats.org/officeDocument/2006/relationships" r:embed="rId15"/>
        <a:stretch>
          <a:fillRect/>
        </a:stretch>
      </xdr:blipFill>
      <xdr:spPr>
        <a:xfrm>
          <a:off x="13566321" y="25029643"/>
          <a:ext cx="5304762" cy="5314286"/>
        </a:xfrm>
        <a:prstGeom prst="rect">
          <a:avLst/>
        </a:prstGeom>
      </xdr:spPr>
    </xdr:pic>
    <xdr:clientData/>
  </xdr:twoCellAnchor>
  <xdr:twoCellAnchor editAs="oneCell">
    <xdr:from>
      <xdr:col>22</xdr:col>
      <xdr:colOff>285750</xdr:colOff>
      <xdr:row>160</xdr:row>
      <xdr:rowOff>176893</xdr:rowOff>
    </xdr:from>
    <xdr:to>
      <xdr:col>29</xdr:col>
      <xdr:colOff>466167</xdr:colOff>
      <xdr:row>176</xdr:row>
      <xdr:rowOff>43179</xdr:rowOff>
    </xdr:to>
    <xdr:pic>
      <xdr:nvPicPr>
        <xdr:cNvPr id="25" name="Picture 24">
          <a:extLst>
            <a:ext uri="{FF2B5EF4-FFF2-40B4-BE49-F238E27FC236}">
              <a16:creationId xmlns:a16="http://schemas.microsoft.com/office/drawing/2014/main" id="{00000000-0008-0000-0A00-000019000000}"/>
            </a:ext>
          </a:extLst>
        </xdr:cNvPr>
        <xdr:cNvPicPr>
          <a:picLocks noChangeAspect="1"/>
        </xdr:cNvPicPr>
      </xdr:nvPicPr>
      <xdr:blipFill>
        <a:blip xmlns:r="http://schemas.openxmlformats.org/officeDocument/2006/relationships" r:embed="rId16"/>
        <a:stretch>
          <a:fillRect/>
        </a:stretch>
      </xdr:blipFill>
      <xdr:spPr>
        <a:xfrm>
          <a:off x="13756821" y="30466393"/>
          <a:ext cx="4466667" cy="2914286"/>
        </a:xfrm>
        <a:prstGeom prst="rect">
          <a:avLst/>
        </a:prstGeom>
      </xdr:spPr>
    </xdr:pic>
    <xdr:clientData/>
  </xdr:twoCellAnchor>
  <xdr:twoCellAnchor editAs="oneCell">
    <xdr:from>
      <xdr:col>23</xdr:col>
      <xdr:colOff>257735</xdr:colOff>
      <xdr:row>101</xdr:row>
      <xdr:rowOff>33617</xdr:rowOff>
    </xdr:from>
    <xdr:to>
      <xdr:col>33</xdr:col>
      <xdr:colOff>158940</xdr:colOff>
      <xdr:row>128</xdr:row>
      <xdr:rowOff>166307</xdr:rowOff>
    </xdr:to>
    <xdr:pic>
      <xdr:nvPicPr>
        <xdr:cNvPr id="2" name="Picture 1">
          <a:extLst>
            <a:ext uri="{FF2B5EF4-FFF2-40B4-BE49-F238E27FC236}">
              <a16:creationId xmlns:a16="http://schemas.microsoft.com/office/drawing/2014/main" id="{00000000-0008-0000-0A00-000002000000}"/>
            </a:ext>
          </a:extLst>
        </xdr:cNvPr>
        <xdr:cNvPicPr>
          <a:picLocks noChangeAspect="1"/>
        </xdr:cNvPicPr>
      </xdr:nvPicPr>
      <xdr:blipFill>
        <a:blip xmlns:r="http://schemas.openxmlformats.org/officeDocument/2006/relationships" r:embed="rId17"/>
        <a:stretch>
          <a:fillRect/>
        </a:stretch>
      </xdr:blipFill>
      <xdr:spPr>
        <a:xfrm>
          <a:off x="14175441" y="19274117"/>
          <a:ext cx="5952381" cy="5276190"/>
        </a:xfrm>
        <a:prstGeom prst="rect">
          <a:avLst/>
        </a:prstGeom>
      </xdr:spPr>
    </xdr:pic>
    <xdr:clientData/>
  </xdr:twoCellAnchor>
  <xdr:twoCellAnchor editAs="oneCell">
    <xdr:from>
      <xdr:col>23</xdr:col>
      <xdr:colOff>134471</xdr:colOff>
      <xdr:row>93</xdr:row>
      <xdr:rowOff>190499</xdr:rowOff>
    </xdr:from>
    <xdr:to>
      <xdr:col>33</xdr:col>
      <xdr:colOff>264247</xdr:colOff>
      <xdr:row>101</xdr:row>
      <xdr:rowOff>76023</xdr:rowOff>
    </xdr:to>
    <xdr:pic>
      <xdr:nvPicPr>
        <xdr:cNvPr id="9" name="Picture 8">
          <a:extLst>
            <a:ext uri="{FF2B5EF4-FFF2-40B4-BE49-F238E27FC236}">
              <a16:creationId xmlns:a16="http://schemas.microsoft.com/office/drawing/2014/main" id="{00000000-0008-0000-0A00-000009000000}"/>
            </a:ext>
          </a:extLst>
        </xdr:cNvPr>
        <xdr:cNvPicPr>
          <a:picLocks noChangeAspect="1"/>
        </xdr:cNvPicPr>
      </xdr:nvPicPr>
      <xdr:blipFill>
        <a:blip xmlns:r="http://schemas.openxmlformats.org/officeDocument/2006/relationships" r:embed="rId18"/>
        <a:stretch>
          <a:fillRect/>
        </a:stretch>
      </xdr:blipFill>
      <xdr:spPr>
        <a:xfrm>
          <a:off x="14052177" y="17906999"/>
          <a:ext cx="6180952" cy="1409524"/>
        </a:xfrm>
        <a:prstGeom prst="rect">
          <a:avLst/>
        </a:prstGeom>
      </xdr:spPr>
    </xdr:pic>
    <xdr:clientData/>
  </xdr:twoCellAnchor>
  <xdr:oneCellAnchor>
    <xdr:from>
      <xdr:col>25</xdr:col>
      <xdr:colOff>63874</xdr:colOff>
      <xdr:row>91</xdr:row>
      <xdr:rowOff>19050</xdr:rowOff>
    </xdr:from>
    <xdr:ext cx="3538661" cy="172227"/>
    <mc:AlternateContent xmlns:mc="http://schemas.openxmlformats.org/markup-compatibility/2006" xmlns:a14="http://schemas.microsoft.com/office/drawing/2010/main">
      <mc:Choice Requires="a14">
        <xdr:sp macro="" textlink="">
          <xdr:nvSpPr>
            <xdr:cNvPr id="10" name="TextBox 9">
              <a:extLst>
                <a:ext uri="{FF2B5EF4-FFF2-40B4-BE49-F238E27FC236}">
                  <a16:creationId xmlns:a16="http://schemas.microsoft.com/office/drawing/2014/main" id="{00000000-0008-0000-0A00-00000A000000}"/>
                </a:ext>
              </a:extLst>
            </xdr:cNvPr>
            <xdr:cNvSpPr txBox="1"/>
          </xdr:nvSpPr>
          <xdr:spPr>
            <a:xfrm>
              <a:off x="15191815" y="17354550"/>
              <a:ext cx="3538661" cy="172227"/>
            </a:xfrm>
            <a:prstGeom prst="rect">
              <a:avLst/>
            </a:prstGeom>
            <a:solidFill>
              <a:schemeClr val="bg1"/>
            </a:solid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r>
                <a:rPr lang="en-US" sz="1100" b="0"/>
                <a:t>Sm = </a:t>
              </a:r>
              <a14:m>
                <m:oMath xmlns:m="http://schemas.openxmlformats.org/officeDocument/2006/math">
                  <m:r>
                    <a:rPr lang="en-US" sz="1100" b="0" i="1">
                      <a:latin typeface="Cambria Math" panose="02040503050406030204" pitchFamily="18" charset="0"/>
                    </a:rPr>
                    <m:t>𝑖𝑓</m:t>
                  </m:r>
                  <m:r>
                    <a:rPr lang="en-US" sz="1100" b="0" i="1">
                      <a:latin typeface="Cambria Math" panose="02040503050406030204" pitchFamily="18" charset="0"/>
                    </a:rPr>
                    <m:t>(</m:t>
                  </m:r>
                  <m:r>
                    <a:rPr lang="en-US" sz="1100" b="0" i="1">
                      <a:latin typeface="Cambria Math" panose="02040503050406030204" pitchFamily="18" charset="0"/>
                    </a:rPr>
                    <m:t>𝑉𝐼</m:t>
                  </m:r>
                  <m:r>
                    <a:rPr lang="en-US" sz="1100" b="0" i="1">
                      <a:latin typeface="Cambria Math" panose="02040503050406030204" pitchFamily="18" charset="0"/>
                    </a:rPr>
                    <m:t>−5−257&lt;0.024,</m:t>
                  </m:r>
                  <m:r>
                    <a:rPr lang="en-US" sz="1100" b="0" i="1">
                      <a:latin typeface="Cambria Math" panose="02040503050406030204" pitchFamily="18" charset="0"/>
                    </a:rPr>
                    <m:t>𝐵</m:t>
                  </m:r>
                  <m:r>
                    <a:rPr lang="en-US" sz="1100" b="0" i="1">
                      <a:latin typeface="Cambria Math" panose="02040503050406030204" pitchFamily="18" charset="0"/>
                    </a:rPr>
                    <m:t>∗0.024, </m:t>
                  </m:r>
                  <m:r>
                    <a:rPr lang="en-US" sz="1100" b="0" i="1">
                      <a:latin typeface="Cambria Math" panose="02040503050406030204" pitchFamily="18" charset="0"/>
                    </a:rPr>
                    <m:t>𝐵</m:t>
                  </m:r>
                  <m:r>
                    <a:rPr lang="en-US" sz="1100" b="0" i="1">
                      <a:latin typeface="Cambria Math" panose="02040503050406030204" pitchFamily="18" charset="0"/>
                    </a:rPr>
                    <m:t>∗</m:t>
                  </m:r>
                  <m:r>
                    <a:rPr lang="en-US" sz="1100" b="0" i="1">
                      <a:latin typeface="Cambria Math" panose="02040503050406030204" pitchFamily="18" charset="0"/>
                    </a:rPr>
                    <m:t>𝑉𝐼</m:t>
                  </m:r>
                  <m:r>
                    <a:rPr lang="en-US" sz="1100" b="0" i="1">
                      <a:latin typeface="Cambria Math" panose="02040503050406030204" pitchFamily="18" charset="0"/>
                    </a:rPr>
                    <m:t>−5−257)</m:t>
                  </m:r>
                </m:oMath>
              </a14:m>
              <a:endParaRPr lang="en-US" sz="1100"/>
            </a:p>
          </xdr:txBody>
        </xdr:sp>
      </mc:Choice>
      <mc:Fallback xmlns="">
        <xdr:sp macro="" textlink="">
          <xdr:nvSpPr>
            <xdr:cNvPr id="10" name="TextBox 9">
              <a:extLst>
                <a:ext uri="{FF2B5EF4-FFF2-40B4-BE49-F238E27FC236}">
                  <a16:creationId xmlns:a16="http://schemas.microsoft.com/office/drawing/2014/main" id="{6F113A6A-4547-4630-B289-1C7E76455E7A}"/>
                </a:ext>
              </a:extLst>
            </xdr:cNvPr>
            <xdr:cNvSpPr txBox="1"/>
          </xdr:nvSpPr>
          <xdr:spPr>
            <a:xfrm>
              <a:off x="15191815" y="17354550"/>
              <a:ext cx="3538661" cy="172227"/>
            </a:xfrm>
            <a:prstGeom prst="rect">
              <a:avLst/>
            </a:prstGeom>
            <a:solidFill>
              <a:schemeClr val="bg1"/>
            </a:solid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r>
                <a:rPr lang="en-US" sz="1100" b="0"/>
                <a:t>Sm = </a:t>
              </a:r>
              <a:r>
                <a:rPr lang="en-US" sz="1100" b="0" i="0">
                  <a:latin typeface="Cambria Math" panose="02040503050406030204" pitchFamily="18" charset="0"/>
                </a:rPr>
                <a:t>𝑖𝑓(𝑉𝐼−5−257&lt;0.024,𝐵∗0.024, 𝐵∗𝑉𝐼−5−257)</a:t>
              </a:r>
              <a:endParaRPr lang="en-US" sz="1100"/>
            </a:p>
          </xdr:txBody>
        </xdr:sp>
      </mc:Fallback>
    </mc:AlternateContent>
    <xdr:clientData/>
  </xdr:oneCellAnchor>
  <xdr:twoCellAnchor>
    <xdr:from>
      <xdr:col>8</xdr:col>
      <xdr:colOff>134471</xdr:colOff>
      <xdr:row>104</xdr:row>
      <xdr:rowOff>56031</xdr:rowOff>
    </xdr:from>
    <xdr:to>
      <xdr:col>23</xdr:col>
      <xdr:colOff>212912</xdr:colOff>
      <xdr:row>104</xdr:row>
      <xdr:rowOff>78441</xdr:rowOff>
    </xdr:to>
    <xdr:cxnSp macro="">
      <xdr:nvCxnSpPr>
        <xdr:cNvPr id="26" name="Straight Arrow Connector 25">
          <a:extLst>
            <a:ext uri="{FF2B5EF4-FFF2-40B4-BE49-F238E27FC236}">
              <a16:creationId xmlns:a16="http://schemas.microsoft.com/office/drawing/2014/main" id="{00000000-0008-0000-0A00-00001A000000}"/>
            </a:ext>
          </a:extLst>
        </xdr:cNvPr>
        <xdr:cNvCxnSpPr/>
      </xdr:nvCxnSpPr>
      <xdr:spPr>
        <a:xfrm flipV="1">
          <a:off x="4975412" y="19868031"/>
          <a:ext cx="9155206" cy="2241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526676</xdr:colOff>
      <xdr:row>102</xdr:row>
      <xdr:rowOff>100853</xdr:rowOff>
    </xdr:from>
    <xdr:to>
      <xdr:col>8</xdr:col>
      <xdr:colOff>268941</xdr:colOff>
      <xdr:row>105</xdr:row>
      <xdr:rowOff>22412</xdr:rowOff>
    </xdr:to>
    <xdr:sp macro="" textlink="">
      <xdr:nvSpPr>
        <xdr:cNvPr id="27" name="Oval 26">
          <a:extLst>
            <a:ext uri="{FF2B5EF4-FFF2-40B4-BE49-F238E27FC236}">
              <a16:creationId xmlns:a16="http://schemas.microsoft.com/office/drawing/2014/main" id="{00000000-0008-0000-0A00-00001B000000}"/>
            </a:ext>
          </a:extLst>
        </xdr:cNvPr>
        <xdr:cNvSpPr/>
      </xdr:nvSpPr>
      <xdr:spPr>
        <a:xfrm>
          <a:off x="2947147" y="19531853"/>
          <a:ext cx="2162735" cy="493059"/>
        </a:xfrm>
        <a:prstGeom prst="ellipse">
          <a:avLst/>
        </a:prstGeom>
        <a:no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wsDr>
</file>

<file path=xl/persons/person.xml><?xml version="1.0" encoding="utf-8"?>
<personList xmlns="http://schemas.microsoft.com/office/spreadsheetml/2018/threadedcomments" xmlns:x="http://schemas.openxmlformats.org/spreadsheetml/2006/main">
  <person displayName="McBroom, Mark" id="{89174B69-18B6-4BF7-95EB-5BC3354CFDF1}" userId="S::MMcBroom@mbakerintl.com::4d82b697-2429-45dd-bd45-44de590a4e7b" providerId="AD"/>
</personList>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hreadedComments/threadedComment1.xml><?xml version="1.0" encoding="utf-8"?>
<ThreadedComments xmlns="http://schemas.microsoft.com/office/spreadsheetml/2018/threadedcomments" xmlns:x="http://schemas.openxmlformats.org/spreadsheetml/2006/main">
  <threadedComment ref="C15" dT="2021-04-15T15:01:50.18" personId="{89174B69-18B6-4BF7-95EB-5BC3354CFDF1}" id="{EFC8CCD3-685A-4567-802C-111CB23B3B75}">
    <text>This should be distance from face of abutment to channel bank.</text>
  </threadedComment>
  <threadedComment ref="C16" dT="2021-04-15T15:02:02.00" personId="{89174B69-18B6-4BF7-95EB-5BC3354CFDF1}" id="{C75DECC0-955F-4974-995A-EE562955197C}">
    <text>This should be distance from face of abutment to channel bank.</text>
  </threadedComment>
  <threadedComment ref="C18" dT="2021-04-15T15:02:35.13" personId="{89174B69-18B6-4BF7-95EB-5BC3354CFDF1}" id="{AA62078E-CCC2-40AD-B884-B10EFC6901E8}">
    <text>Depth values shoul dbe positive.</text>
  </threadedComment>
  <threadedComment ref="C27" dT="2021-04-15T14:41:13.15" personId="{89174B69-18B6-4BF7-95EB-5BC3354CFDF1}" id="{52D826E8-0F59-49D4-B0C0-84840532EEE4}">
    <text>L' should not be longer than L and is often shorter. Refer to excerpted Figure 8.4 and text at top of Abutment worksheet.</text>
  </threadedComment>
  <threadedComment ref="C31" dT="2021-04-15T14:43:14.33" personId="{89174B69-18B6-4BF7-95EB-5BC3354CFDF1}" id="{B7BAE823-26A9-4564-9601-F98745CD4B96}">
    <text>Skew angle should be 90 degrees if perpendicular to flow. See excerpted Section 8.4 and Figure 8.5 at top of Abutment worksheet.</text>
  </threadedComment>
  <threadedComment ref="C36" dT="2021-04-15T14:41:33.76" personId="{89174B69-18B6-4BF7-95EB-5BC3354CFDF1}" id="{7BBE1B6D-2FF3-4993-B5CA-97653B43749B}">
    <text>L' is often shorter. Refer to excerpted Figure 8.4 and text at top of Abutment worksheet.</text>
  </threadedComment>
  <threadedComment ref="C40" dT="2021-04-15T14:43:30.24" personId="{89174B69-18B6-4BF7-95EB-5BC3354CFDF1}" id="{12C4455F-DBAB-43D3-A779-B78A3FF91C7C}">
    <text>Skew angle should be 90 degrees if perpendicular to flow. See excerpted Section 8.4 and Figure 8.5 at top of Abutment worksheet.</text>
  </threadedComment>
  <threadedComment ref="C49" dT="2021-04-15T14:58:38.80" personId="{89174B69-18B6-4BF7-95EB-5BC3354CFDF1}" id="{BCB6710E-1798-4A91-9DFA-583D20FB0B2B}">
    <text>I have added the two 24" piles. See Numbr and spacing below. They are guesses. Since these ar individual piles you wouldn't use the 50' length.</text>
  </threadedComment>
</ThreadedComments>
</file>

<file path=xl/threadedComments/threadedComment2.xml><?xml version="1.0" encoding="utf-8"?>
<ThreadedComments xmlns="http://schemas.microsoft.com/office/spreadsheetml/2018/threadedcomments" xmlns:x="http://schemas.openxmlformats.org/spreadsheetml/2006/main">
  <threadedComment ref="C16" dT="2021-04-15T14:46:37.82" personId="{89174B69-18B6-4BF7-95EB-5BC3354CFDF1}" id="{2BA1377F-04E9-423D-9B65-950238BBBA3F}">
    <text>Note this should be unit discharge in the CHANNEL, bank to bank (using eq. 8.5)</text>
  </threadedComment>
  <threadedComment ref="C18" dT="2021-04-15T14:47:32.54" personId="{89174B69-18B6-4BF7-95EB-5BC3354CFDF1}" id="{1D9234C0-6AA2-4999-8382-6DA1818DEF9C}">
    <text>Note this should be unit discharge in the CHANNEL, bank to bank (using eq. 8.5). Odd that channel discharge is lower at bridge than upstream - not so odd considering bridge was not actually included in the model.</text>
  </threadedComment>
  <threadedComment ref="C33" dT="2021-04-15T14:51:25.98" personId="{89174B69-18B6-4BF7-95EB-5BC3354CFDF1}" id="{B967BB9A-3C91-435E-A990-E960556001C5}">
    <text>Should be depth in FLOODPLAIN.</text>
  </threadedComment>
  <threadedComment ref="C34" dT="2021-04-15T14:48:12.89" personId="{89174B69-18B6-4BF7-95EB-5BC3354CFDF1}" id="{BEEBF584-B298-4DF5-B72A-3E5DFA7EABF7}">
    <text>Note this should be unit discharge in the FLOODPLAIN, backward of channel (using eq. 8.6).</text>
  </threadedComment>
  <threadedComment ref="C35" dT="2021-04-15T14:51:38.68" personId="{89174B69-18B6-4BF7-95EB-5BC3354CFDF1}" id="{E2F65249-91EE-42A4-801D-68C8F058985F}">
    <text>Should be depth in FLOODPLAIN.</text>
  </threadedComment>
  <threadedComment ref="C36" dT="2021-04-15T14:48:19.45" personId="{89174B69-18B6-4BF7-95EB-5BC3354CFDF1}" id="{DD0272BB-54E4-429B-BD7F-D3119B42CC6F}">
    <text>Note this should be unit discharge in the FLOODPLAIN between abutment face and channel bank (using eq. 8.6).</text>
  </threadedComment>
</ThreadedComments>
</file>

<file path=xl/worksheets/_rels/sheet1.xml.rels><?xml version="1.0" encoding="UTF-8" standalone="yes"?>
<Relationships xmlns="http://schemas.openxmlformats.org/package/2006/relationships"><Relationship Id="rId3" Type="http://schemas.openxmlformats.org/officeDocument/2006/relationships/hyperlink" Target="http://www.plainwater.com/pubs/EM-1110-2-1100P6.pdf" TargetMode="External"/><Relationship Id="rId7" Type="http://schemas.openxmlformats.org/officeDocument/2006/relationships/drawing" Target="../drawings/drawing1.xml"/><Relationship Id="rId2" Type="http://schemas.openxmlformats.org/officeDocument/2006/relationships/hyperlink" Target="http://onlinepubs.trb.org/onlinepubs/nchrp/docs/nchrp24-20_fr.pdf" TargetMode="External"/><Relationship Id="rId1" Type="http://schemas.openxmlformats.org/officeDocument/2006/relationships/hyperlink" Target="https://www.fhwa.dot.gov/engineering/hydraulics/library_arc.cfm?pub_number=17&amp;id=151" TargetMode="External"/><Relationship Id="rId6" Type="http://schemas.openxmlformats.org/officeDocument/2006/relationships/printerSettings" Target="../printerSettings/printerSettings1.bin"/><Relationship Id="rId5" Type="http://schemas.openxmlformats.org/officeDocument/2006/relationships/hyperlink" Target="https://www.usbr.gov/tsc/techreferences/mands/mands-pdfs/GuidelinesForEvaluatingPipelineChannelHazards_09-2019_Final508.pdf" TargetMode="External"/><Relationship Id="rId4" Type="http://schemas.openxmlformats.org/officeDocument/2006/relationships/hyperlink" Target="https://www.usbr.gov/tsc/techreferences/reservoir/ComputingDegradtion01_1984.pdf" TargetMode="External"/></Relationships>
</file>

<file path=xl/worksheets/_rels/sheet2.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2.xml"/><Relationship Id="rId1" Type="http://schemas.openxmlformats.org/officeDocument/2006/relationships/printerSettings" Target="../printerSettings/printerSettings2.bin"/><Relationship Id="rId5" Type="http://schemas.openxmlformats.org/officeDocument/2006/relationships/image" Target="../media/image2.emf"/><Relationship Id="rId4" Type="http://schemas.openxmlformats.org/officeDocument/2006/relationships/oleObject" Target="../embeddings/oleObject1.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3" Type="http://schemas.openxmlformats.org/officeDocument/2006/relationships/vmlDrawing" Target="../drawings/vmlDrawing2.vml"/><Relationship Id="rId7" Type="http://schemas.microsoft.com/office/2017/10/relationships/threadedComment" Target="../threadedComments/threadedComment1.xml"/><Relationship Id="rId2" Type="http://schemas.openxmlformats.org/officeDocument/2006/relationships/drawing" Target="../drawings/drawing4.xml"/><Relationship Id="rId1" Type="http://schemas.openxmlformats.org/officeDocument/2006/relationships/printerSettings" Target="../printerSettings/printerSettings4.bin"/><Relationship Id="rId6" Type="http://schemas.openxmlformats.org/officeDocument/2006/relationships/comments" Target="../comments1.xml"/><Relationship Id="rId5" Type="http://schemas.openxmlformats.org/officeDocument/2006/relationships/image" Target="../media/image2.emf"/><Relationship Id="rId4" Type="http://schemas.openxmlformats.org/officeDocument/2006/relationships/oleObject" Target="../embeddings/oleObject2.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3" Type="http://schemas.openxmlformats.org/officeDocument/2006/relationships/vmlDrawing" Target="../drawings/vmlDrawing3.vml"/><Relationship Id="rId2" Type="http://schemas.openxmlformats.org/officeDocument/2006/relationships/drawing" Target="../drawings/drawing8.xml"/><Relationship Id="rId1" Type="http://schemas.openxmlformats.org/officeDocument/2006/relationships/printerSettings" Target="../printerSettings/printerSettings6.bin"/><Relationship Id="rId5" Type="http://schemas.microsoft.com/office/2017/10/relationships/threadedComment" Target="../threadedComments/threadedComment2.xml"/><Relationship Id="rId4" Type="http://schemas.openxmlformats.org/officeDocument/2006/relationships/comments" Target="../comments2.xml"/></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rinterSettings" Target="../printerSettings/printerSettings7.bin"/></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10.xml"/><Relationship Id="rId1" Type="http://schemas.openxmlformats.org/officeDocument/2006/relationships/printerSettings" Target="../printerSettings/printerSettings8.bin"/></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11.xml"/><Relationship Id="rId1" Type="http://schemas.openxmlformats.org/officeDocument/2006/relationships/printerSettings" Target="../printerSettings/printerSettings9.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6080B70-9A00-4315-BB23-B1368553EB67}">
  <sheetPr>
    <tabColor theme="4" tint="-0.249977111117893"/>
  </sheetPr>
  <dimension ref="A1:Q53"/>
  <sheetViews>
    <sheetView showGridLines="0" topLeftCell="A25" zoomScaleNormal="100" workbookViewId="0">
      <selection activeCell="M33" sqref="M33"/>
    </sheetView>
  </sheetViews>
  <sheetFormatPr defaultRowHeight="15"/>
  <cols>
    <col min="1" max="3" width="3" customWidth="1"/>
  </cols>
  <sheetData>
    <row r="1" spans="1:17" ht="20.100000000000001" customHeight="1">
      <c r="A1" s="162" t="s">
        <v>461</v>
      </c>
      <c r="B1" s="162"/>
      <c r="C1" s="162"/>
      <c r="D1" s="159"/>
      <c r="E1" s="159"/>
      <c r="F1" s="159"/>
      <c r="G1" s="95"/>
      <c r="H1" s="95"/>
      <c r="I1" s="95"/>
      <c r="J1" s="95"/>
      <c r="K1" s="95"/>
      <c r="L1" s="95"/>
      <c r="M1" s="95"/>
      <c r="N1" s="95"/>
    </row>
    <row r="2" spans="1:17" ht="20.100000000000001" customHeight="1">
      <c r="A2" s="162" t="s">
        <v>451</v>
      </c>
      <c r="B2" s="162"/>
      <c r="C2" s="162"/>
      <c r="D2" s="159"/>
      <c r="E2" s="159"/>
      <c r="F2" s="159"/>
      <c r="G2" s="159"/>
      <c r="H2" s="159"/>
      <c r="I2" s="159"/>
      <c r="J2" s="159"/>
      <c r="K2" s="159"/>
      <c r="L2" s="95"/>
      <c r="M2" s="95"/>
      <c r="N2" s="95"/>
    </row>
    <row r="3" spans="1:17" ht="20.100000000000001" customHeight="1">
      <c r="A3" s="95"/>
      <c r="B3" s="95"/>
      <c r="C3" s="95"/>
      <c r="D3" s="159"/>
      <c r="E3" s="159"/>
      <c r="F3" s="159"/>
      <c r="G3" s="159"/>
      <c r="H3" s="159"/>
      <c r="I3" s="159"/>
      <c r="J3" s="159"/>
      <c r="K3" s="159"/>
      <c r="L3" s="95"/>
      <c r="M3" s="95"/>
      <c r="N3" s="95"/>
      <c r="Q3" s="5"/>
    </row>
    <row r="4" spans="1:17" ht="20.100000000000001" customHeight="1">
      <c r="A4" s="95"/>
      <c r="B4" s="95"/>
      <c r="C4" s="95"/>
      <c r="D4" s="160"/>
      <c r="E4" s="160"/>
      <c r="F4" s="160"/>
      <c r="G4" s="160"/>
      <c r="H4" s="160"/>
      <c r="I4" s="160"/>
      <c r="J4" s="160"/>
      <c r="K4" s="160"/>
      <c r="L4" s="95"/>
      <c r="M4" s="95"/>
      <c r="N4" s="95"/>
    </row>
    <row r="5" spans="1:17" ht="20.100000000000001" customHeight="1">
      <c r="A5" s="95"/>
      <c r="B5" s="162" t="s">
        <v>462</v>
      </c>
      <c r="C5" s="162"/>
      <c r="D5" s="162"/>
      <c r="E5" s="97"/>
      <c r="F5" s="163" t="s">
        <v>463</v>
      </c>
      <c r="G5" s="163"/>
      <c r="H5" s="97"/>
      <c r="I5" s="98" t="s">
        <v>464</v>
      </c>
      <c r="J5" s="157"/>
      <c r="K5" s="158"/>
      <c r="L5" s="95"/>
      <c r="M5" s="95"/>
      <c r="N5" s="95"/>
    </row>
    <row r="6" spans="1:17" ht="12.75" customHeight="1">
      <c r="A6" s="96"/>
      <c r="B6" s="96"/>
      <c r="C6" s="96"/>
      <c r="D6" s="96"/>
      <c r="E6" s="96"/>
      <c r="F6" s="96"/>
      <c r="G6" s="96"/>
      <c r="H6" s="96"/>
      <c r="I6" s="96"/>
      <c r="J6" s="96"/>
      <c r="K6" s="96"/>
      <c r="L6" s="96"/>
      <c r="M6" s="96"/>
      <c r="N6" s="96"/>
    </row>
    <row r="7" spans="1:17" s="9" customFormat="1" ht="12.75" customHeight="1">
      <c r="A7" s="95"/>
      <c r="B7" s="95"/>
      <c r="C7" s="95"/>
      <c r="D7" s="95"/>
      <c r="E7" s="95"/>
      <c r="F7" s="95"/>
      <c r="G7" s="95"/>
      <c r="H7" s="95"/>
      <c r="I7" s="95"/>
      <c r="J7" s="95"/>
      <c r="K7" s="95"/>
      <c r="L7" s="95"/>
      <c r="M7" s="95"/>
      <c r="N7" s="95"/>
    </row>
    <row r="8" spans="1:17">
      <c r="A8" s="4" t="s">
        <v>4</v>
      </c>
    </row>
    <row r="9" spans="1:17" s="2" customFormat="1" ht="30" customHeight="1">
      <c r="A9" s="7" t="s">
        <v>5</v>
      </c>
      <c r="B9" s="161" t="s">
        <v>617</v>
      </c>
      <c r="C9" s="161"/>
      <c r="D9" s="161"/>
      <c r="E9" s="161"/>
      <c r="F9" s="161"/>
      <c r="G9" s="161"/>
      <c r="H9" s="161"/>
      <c r="I9" s="161"/>
      <c r="J9" s="161"/>
      <c r="K9" s="161"/>
      <c r="L9" s="161"/>
      <c r="M9" s="161"/>
    </row>
    <row r="11" spans="1:17">
      <c r="A11" s="4" t="s">
        <v>3</v>
      </c>
    </row>
    <row r="12" spans="1:17">
      <c r="A12" s="1" t="s">
        <v>5</v>
      </c>
      <c r="B12" t="s">
        <v>608</v>
      </c>
    </row>
    <row r="13" spans="1:17" s="131" customFormat="1">
      <c r="B13" s="134" t="s">
        <v>5</v>
      </c>
      <c r="C13" s="6" t="s">
        <v>604</v>
      </c>
    </row>
    <row r="14" spans="1:17" s="131" customFormat="1" ht="59.25" customHeight="1">
      <c r="A14" s="134"/>
      <c r="B14" s="3"/>
      <c r="C14" s="161" t="s">
        <v>606</v>
      </c>
      <c r="D14" s="161"/>
      <c r="E14" s="161"/>
      <c r="F14" s="161"/>
      <c r="G14" s="161"/>
      <c r="H14" s="161"/>
      <c r="I14" s="161"/>
      <c r="J14" s="161"/>
      <c r="K14" s="161"/>
      <c r="L14" s="161"/>
      <c r="M14" s="161"/>
    </row>
    <row r="15" spans="1:17" s="131" customFormat="1">
      <c r="B15" s="134"/>
      <c r="C15" s="134" t="s">
        <v>5</v>
      </c>
      <c r="D15" s="5" t="s">
        <v>605</v>
      </c>
    </row>
    <row r="16" spans="1:17" s="131" customFormat="1" ht="30" customHeight="1">
      <c r="B16" s="134"/>
      <c r="D16" s="161" t="s">
        <v>607</v>
      </c>
      <c r="E16" s="161"/>
      <c r="F16" s="161"/>
      <c r="G16" s="161"/>
      <c r="H16" s="161"/>
      <c r="I16" s="161"/>
      <c r="J16" s="161"/>
      <c r="K16" s="161"/>
      <c r="L16" s="161"/>
      <c r="M16" s="161"/>
      <c r="N16" s="161"/>
    </row>
    <row r="17" spans="1:14">
      <c r="B17" s="1" t="s">
        <v>5</v>
      </c>
      <c r="C17" s="6" t="s">
        <v>203</v>
      </c>
    </row>
    <row r="18" spans="1:14" ht="45" customHeight="1">
      <c r="A18" s="1"/>
      <c r="B18" s="3"/>
      <c r="C18" s="161" t="s">
        <v>438</v>
      </c>
      <c r="D18" s="161"/>
      <c r="E18" s="161"/>
      <c r="F18" s="161"/>
      <c r="G18" s="161"/>
      <c r="H18" s="161"/>
      <c r="I18" s="161"/>
      <c r="J18" s="161"/>
      <c r="K18" s="161"/>
      <c r="L18" s="161"/>
      <c r="M18" s="161"/>
    </row>
    <row r="19" spans="1:14">
      <c r="A19" s="9"/>
      <c r="B19" s="1"/>
      <c r="C19" s="1" t="s">
        <v>5</v>
      </c>
      <c r="D19" s="5" t="s">
        <v>72</v>
      </c>
    </row>
    <row r="20" spans="1:14" ht="30" customHeight="1">
      <c r="A20" s="9"/>
      <c r="B20" s="1"/>
      <c r="D20" s="161" t="s">
        <v>6</v>
      </c>
      <c r="E20" s="161"/>
      <c r="F20" s="161"/>
      <c r="G20" s="161"/>
      <c r="H20" s="161"/>
      <c r="I20" s="161"/>
      <c r="J20" s="161"/>
      <c r="K20" s="161"/>
      <c r="L20" s="161"/>
      <c r="M20" s="161"/>
      <c r="N20" s="161"/>
    </row>
    <row r="21" spans="1:14">
      <c r="A21" s="9"/>
      <c r="B21" s="1"/>
      <c r="C21" s="1" t="s">
        <v>5</v>
      </c>
      <c r="D21" s="5" t="s">
        <v>117</v>
      </c>
    </row>
    <row r="22" spans="1:14" ht="30" customHeight="1">
      <c r="A22" s="9"/>
      <c r="B22" s="1"/>
      <c r="D22" s="161" t="s">
        <v>204</v>
      </c>
      <c r="E22" s="161"/>
      <c r="F22" s="161"/>
      <c r="G22" s="161"/>
      <c r="H22" s="161"/>
      <c r="I22" s="161"/>
      <c r="J22" s="161"/>
      <c r="K22" s="161"/>
      <c r="L22" s="161"/>
      <c r="M22" s="161"/>
      <c r="N22" s="161"/>
    </row>
    <row r="23" spans="1:14">
      <c r="A23" s="9"/>
      <c r="B23" s="1"/>
      <c r="C23" s="1" t="s">
        <v>5</v>
      </c>
      <c r="D23" s="5" t="s">
        <v>33</v>
      </c>
    </row>
    <row r="24" spans="1:14" ht="45" customHeight="1">
      <c r="A24" s="9"/>
      <c r="D24" s="161" t="s">
        <v>205</v>
      </c>
      <c r="E24" s="161"/>
      <c r="F24" s="161"/>
      <c r="G24" s="161"/>
      <c r="H24" s="161"/>
      <c r="I24" s="161"/>
      <c r="J24" s="161"/>
      <c r="K24" s="161"/>
      <c r="L24" s="161"/>
      <c r="M24" s="161"/>
      <c r="N24" s="161"/>
    </row>
    <row r="25" spans="1:14" s="9" customFormat="1">
      <c r="A25" s="12"/>
      <c r="B25" s="12" t="s">
        <v>5</v>
      </c>
      <c r="C25" s="5" t="s">
        <v>266</v>
      </c>
    </row>
    <row r="26" spans="1:14" s="9" customFormat="1" ht="45" customHeight="1">
      <c r="A26" s="12"/>
      <c r="C26" s="161" t="s">
        <v>439</v>
      </c>
      <c r="D26" s="161"/>
      <c r="E26" s="161"/>
      <c r="F26" s="161"/>
      <c r="G26" s="161"/>
      <c r="H26" s="161"/>
      <c r="I26" s="161"/>
      <c r="J26" s="161"/>
      <c r="K26" s="161"/>
      <c r="L26" s="161"/>
      <c r="M26" s="161"/>
    </row>
    <row r="27" spans="1:14" s="9" customFormat="1">
      <c r="B27" s="72"/>
      <c r="C27" s="72" t="s">
        <v>5</v>
      </c>
      <c r="D27" s="5" t="s">
        <v>326</v>
      </c>
    </row>
    <row r="28" spans="1:14" s="9" customFormat="1" ht="30" customHeight="1">
      <c r="B28" s="72"/>
      <c r="D28" s="161" t="s">
        <v>327</v>
      </c>
      <c r="E28" s="161"/>
      <c r="F28" s="161"/>
      <c r="G28" s="161"/>
      <c r="H28" s="161"/>
      <c r="I28" s="161"/>
      <c r="J28" s="161"/>
      <c r="K28" s="161"/>
      <c r="L28" s="161"/>
      <c r="M28" s="161"/>
      <c r="N28" s="161"/>
    </row>
    <row r="29" spans="1:14" s="9" customFormat="1">
      <c r="A29" s="85"/>
      <c r="B29" s="85" t="s">
        <v>5</v>
      </c>
      <c r="C29" s="5" t="s">
        <v>358</v>
      </c>
    </row>
    <row r="30" spans="1:14" s="9" customFormat="1" ht="60" customHeight="1">
      <c r="A30" s="85"/>
      <c r="C30" s="161" t="s">
        <v>440</v>
      </c>
      <c r="D30" s="161"/>
      <c r="E30" s="161"/>
      <c r="F30" s="161"/>
      <c r="G30" s="161"/>
      <c r="H30" s="161"/>
      <c r="I30" s="161"/>
      <c r="J30" s="161"/>
      <c r="K30" s="161"/>
      <c r="L30" s="161"/>
      <c r="M30" s="161"/>
    </row>
    <row r="31" spans="1:14" s="9" customFormat="1">
      <c r="B31" s="85"/>
      <c r="C31" s="85" t="s">
        <v>5</v>
      </c>
      <c r="D31" s="5" t="s">
        <v>442</v>
      </c>
    </row>
    <row r="32" spans="1:14" s="9" customFormat="1" ht="45" customHeight="1">
      <c r="B32" s="85"/>
      <c r="D32" s="161" t="s">
        <v>441</v>
      </c>
      <c r="E32" s="161"/>
      <c r="F32" s="161"/>
      <c r="G32" s="161"/>
      <c r="H32" s="161"/>
      <c r="I32" s="161"/>
      <c r="J32" s="161"/>
      <c r="K32" s="161"/>
      <c r="L32" s="161"/>
      <c r="M32" s="161"/>
      <c r="N32" s="161"/>
    </row>
    <row r="34" spans="1:13">
      <c r="A34" s="4" t="s">
        <v>2</v>
      </c>
    </row>
    <row r="35" spans="1:13" ht="30" customHeight="1">
      <c r="A35" s="7" t="s">
        <v>5</v>
      </c>
      <c r="B35" s="164" t="s">
        <v>35</v>
      </c>
      <c r="C35" s="164"/>
      <c r="D35" s="164"/>
      <c r="E35" s="164"/>
      <c r="F35" s="164"/>
      <c r="G35" s="164"/>
      <c r="H35" s="164"/>
      <c r="I35" s="164"/>
      <c r="J35" s="164"/>
      <c r="K35" s="164"/>
      <c r="L35" s="164"/>
      <c r="M35" s="164"/>
    </row>
    <row r="36" spans="1:13" ht="30" customHeight="1">
      <c r="A36" s="7" t="s">
        <v>5</v>
      </c>
      <c r="B36" s="167" t="s">
        <v>112</v>
      </c>
      <c r="C36" s="167"/>
      <c r="D36" s="167"/>
      <c r="E36" s="167"/>
      <c r="F36" s="167"/>
      <c r="G36" s="167"/>
      <c r="H36" s="167"/>
      <c r="I36" s="167"/>
      <c r="J36" s="167"/>
      <c r="K36" s="167"/>
      <c r="L36" s="167"/>
      <c r="M36" s="167"/>
    </row>
    <row r="37" spans="1:13" s="9" customFormat="1" ht="30" customHeight="1">
      <c r="A37" s="7" t="s">
        <v>5</v>
      </c>
      <c r="B37" s="167" t="s">
        <v>437</v>
      </c>
      <c r="C37" s="167"/>
      <c r="D37" s="167"/>
      <c r="E37" s="167"/>
      <c r="F37" s="167"/>
      <c r="G37" s="167"/>
      <c r="H37" s="167"/>
      <c r="I37" s="167"/>
      <c r="J37" s="167"/>
      <c r="K37" s="167"/>
      <c r="L37" s="167"/>
      <c r="M37" s="167"/>
    </row>
    <row r="38" spans="1:13" s="9" customFormat="1" ht="30" customHeight="1">
      <c r="A38" s="7" t="s">
        <v>5</v>
      </c>
      <c r="B38" s="161" t="s">
        <v>491</v>
      </c>
      <c r="C38" s="161"/>
      <c r="D38" s="161"/>
      <c r="E38" s="161"/>
      <c r="F38" s="161"/>
      <c r="G38" s="161"/>
      <c r="H38" s="161"/>
      <c r="I38" s="161"/>
      <c r="J38" s="161"/>
      <c r="K38" s="161"/>
      <c r="L38" s="161"/>
      <c r="M38" s="161"/>
    </row>
    <row r="39" spans="1:13" s="9" customFormat="1" ht="45.75" customHeight="1">
      <c r="A39" s="7" t="s">
        <v>5</v>
      </c>
      <c r="B39" s="167" t="s">
        <v>493</v>
      </c>
      <c r="C39" s="167"/>
      <c r="D39" s="167"/>
      <c r="E39" s="167"/>
      <c r="F39" s="167"/>
      <c r="G39" s="167"/>
      <c r="H39" s="167"/>
      <c r="I39" s="167"/>
      <c r="J39" s="167"/>
      <c r="K39" s="167"/>
      <c r="L39" s="167"/>
      <c r="M39" s="167"/>
    </row>
    <row r="40" spans="1:13" s="9" customFormat="1" ht="30" customHeight="1">
      <c r="A40" s="121" t="s">
        <v>5</v>
      </c>
      <c r="B40" s="164" t="s">
        <v>578</v>
      </c>
      <c r="C40" s="164"/>
      <c r="D40" s="164"/>
      <c r="E40" s="164"/>
      <c r="F40" s="164"/>
      <c r="G40" s="164"/>
      <c r="H40" s="164"/>
      <c r="I40" s="164"/>
      <c r="J40" s="164"/>
      <c r="K40" s="164"/>
      <c r="L40" s="164"/>
      <c r="M40" s="164"/>
    </row>
    <row r="41" spans="1:13" s="9" customFormat="1">
      <c r="A41" s="121"/>
    </row>
    <row r="42" spans="1:13">
      <c r="A42" s="4" t="s">
        <v>1</v>
      </c>
    </row>
    <row r="43" spans="1:13">
      <c r="A43" s="1" t="s">
        <v>5</v>
      </c>
      <c r="B43" s="166" t="s">
        <v>111</v>
      </c>
      <c r="C43" s="166"/>
      <c r="D43" s="166"/>
      <c r="E43" s="166"/>
      <c r="F43" s="166"/>
      <c r="G43" s="166"/>
      <c r="H43" s="166"/>
      <c r="I43" s="166"/>
      <c r="J43" s="166"/>
      <c r="K43" s="166"/>
      <c r="L43" s="166"/>
      <c r="M43" s="166"/>
    </row>
    <row r="44" spans="1:13">
      <c r="A44" s="1" t="s">
        <v>5</v>
      </c>
      <c r="B44" s="168" t="s">
        <v>206</v>
      </c>
      <c r="C44" s="168"/>
      <c r="D44" s="168"/>
      <c r="E44" s="168"/>
      <c r="F44" s="168"/>
      <c r="G44" s="168"/>
      <c r="H44" s="168"/>
      <c r="I44" s="168"/>
      <c r="J44" s="168"/>
      <c r="K44" s="168"/>
      <c r="L44" s="168"/>
      <c r="M44" s="168"/>
    </row>
    <row r="45" spans="1:13" s="63" customFormat="1" ht="30" customHeight="1">
      <c r="A45" s="64" t="s">
        <v>5</v>
      </c>
      <c r="B45" s="161" t="s">
        <v>494</v>
      </c>
      <c r="C45" s="161"/>
      <c r="D45" s="161"/>
      <c r="E45" s="161"/>
      <c r="F45" s="161"/>
      <c r="G45" s="161"/>
      <c r="H45" s="161"/>
      <c r="I45" s="161"/>
      <c r="J45" s="161"/>
      <c r="K45" s="161"/>
      <c r="L45" s="161"/>
      <c r="M45" s="161"/>
    </row>
    <row r="46" spans="1:13" ht="30" customHeight="1">
      <c r="A46" s="7" t="s">
        <v>5</v>
      </c>
      <c r="B46" s="161" t="s">
        <v>328</v>
      </c>
      <c r="C46" s="161"/>
      <c r="D46" s="161"/>
      <c r="E46" s="161"/>
      <c r="F46" s="161"/>
      <c r="G46" s="161"/>
      <c r="H46" s="161"/>
      <c r="I46" s="161"/>
      <c r="J46" s="161"/>
      <c r="K46" s="161"/>
      <c r="L46" s="161"/>
      <c r="M46" s="161"/>
    </row>
    <row r="48" spans="1:13">
      <c r="A48" s="10" t="s">
        <v>474</v>
      </c>
    </row>
    <row r="49" spans="1:13" ht="30" customHeight="1">
      <c r="A49" s="7" t="s">
        <v>5</v>
      </c>
      <c r="B49" s="161" t="s">
        <v>475</v>
      </c>
      <c r="C49" s="161"/>
      <c r="D49" s="161"/>
      <c r="E49" s="161"/>
      <c r="F49" s="161"/>
      <c r="G49" s="161"/>
      <c r="H49" s="161"/>
      <c r="I49" s="161"/>
      <c r="J49" s="161"/>
      <c r="K49" s="161"/>
      <c r="L49" s="161"/>
      <c r="M49" s="161"/>
    </row>
    <row r="50" spans="1:13" ht="30" customHeight="1">
      <c r="A50" s="7" t="s">
        <v>5</v>
      </c>
      <c r="B50" s="165" t="s">
        <v>616</v>
      </c>
      <c r="C50" s="165"/>
      <c r="D50" s="165"/>
      <c r="E50" s="165"/>
      <c r="F50" s="165"/>
      <c r="G50" s="165"/>
      <c r="H50" s="165"/>
      <c r="I50" s="165"/>
      <c r="J50" s="165"/>
      <c r="K50" s="165"/>
      <c r="L50" s="165"/>
      <c r="M50" s="165"/>
    </row>
    <row r="51" spans="1:13">
      <c r="B51" s="63"/>
      <c r="C51" s="63"/>
      <c r="D51" s="63"/>
      <c r="E51" s="63"/>
      <c r="F51" s="63"/>
      <c r="G51" s="63"/>
      <c r="H51" s="63"/>
      <c r="I51" s="63"/>
      <c r="J51" s="63"/>
      <c r="K51" s="63"/>
      <c r="L51" s="63"/>
      <c r="M51" s="63"/>
    </row>
    <row r="52" spans="1:13">
      <c r="A52" s="120" t="s">
        <v>625</v>
      </c>
    </row>
    <row r="53" spans="1:13">
      <c r="A53" s="120" t="s">
        <v>492</v>
      </c>
    </row>
  </sheetData>
  <mergeCells count="32">
    <mergeCell ref="B49:M49"/>
    <mergeCell ref="B50:M50"/>
    <mergeCell ref="D24:N24"/>
    <mergeCell ref="B43:M43"/>
    <mergeCell ref="B35:M35"/>
    <mergeCell ref="B36:M36"/>
    <mergeCell ref="B37:M37"/>
    <mergeCell ref="C30:M30"/>
    <mergeCell ref="D32:N32"/>
    <mergeCell ref="C26:M26"/>
    <mergeCell ref="B44:M44"/>
    <mergeCell ref="B45:M45"/>
    <mergeCell ref="B46:M46"/>
    <mergeCell ref="D28:N28"/>
    <mergeCell ref="B38:M38"/>
    <mergeCell ref="B39:M39"/>
    <mergeCell ref="B40:M40"/>
    <mergeCell ref="B9:M9"/>
    <mergeCell ref="C18:M18"/>
    <mergeCell ref="D20:N20"/>
    <mergeCell ref="D22:N22"/>
    <mergeCell ref="D16:N16"/>
    <mergeCell ref="A1:C1"/>
    <mergeCell ref="A2:C2"/>
    <mergeCell ref="D1:F1"/>
    <mergeCell ref="B5:D5"/>
    <mergeCell ref="F5:G5"/>
    <mergeCell ref="J5:K5"/>
    <mergeCell ref="D2:K2"/>
    <mergeCell ref="D3:K3"/>
    <mergeCell ref="D4:K4"/>
    <mergeCell ref="C14:M14"/>
  </mergeCells>
  <hyperlinks>
    <hyperlink ref="C17" location="'HEC-18 Bridge Scour'!A1" display="HEC-18 Bridge Scour" xr:uid="{8CBF3B3C-1EBA-411B-AE48-BC5A76D9B846}"/>
    <hyperlink ref="D19" location="Contraction!A1" display="Contraction" xr:uid="{A5A31B53-7C6E-4F5B-9EB7-C9CFA0B95FF1}"/>
    <hyperlink ref="D21" location="Abutment!A1" display="Abutment" xr:uid="{1254536E-9BF6-4A37-A095-6779477DBEAF}"/>
    <hyperlink ref="D23" location="Pier!A1" display="Pier" xr:uid="{56EAB6E8-C672-40BC-8EDE-86B6D65DE459}"/>
    <hyperlink ref="C25" location="'NCHRP Abutment Scour'!A1" display="NCHRP Abutment Scour" xr:uid="{B8E47F8A-6E41-40E8-A86E-4A8D5A0DAA72}"/>
    <hyperlink ref="D27" location="'Abutment NCHRP '!A1" display="Abutment NCHRP" xr:uid="{C0DA75D7-85A8-4148-AF1E-B03A2A238617}"/>
    <hyperlink ref="C29" location="'Wave Induced Scour'!A1" display="Wave Induced Scour" xr:uid="{75FF4316-873E-403C-B7FA-7430CB1ADFB4}"/>
    <hyperlink ref="D31" location="'Wave Induced'!A1" display="Wave Induced" xr:uid="{21A3156B-FCB6-4FB3-A578-C4B9906CC3E6}"/>
    <hyperlink ref="C13" location="'General Scour'!A1" display="General Scour" xr:uid="{A2109A09-F3D9-4823-BB41-ED352ED8CB38}"/>
    <hyperlink ref="D15" location="General!A1" display="General" xr:uid="{8A1E3974-9883-4CF5-92DC-3A54102E4309}"/>
    <hyperlink ref="B35:M35" r:id="rId1" display="U.S. Department of Transportation Federal Highway Administration. 2012. Evaluating Scour at Bridges, Fifth Edition. Hydraulic Design Series No. 18. Publication No. FHWA-HIF-12-003." xr:uid="{C1CE1D9A-D618-4CD6-917B-3FE7F584792A}"/>
    <hyperlink ref="B36:M36" r:id="rId2" display="National Cooperative Highway Research Council. 2010. Estimation of Scour Depth at Bridge Abutments. NCHRP 24-20. " xr:uid="{ECA430A8-B31C-4DC6-876E-D2C75E41E4B9}"/>
    <hyperlink ref="B37:M37" r:id="rId3" display="U.S. Army Corps of Engineers. Coastal Engineering Manual - Part VI. 2011. EM 1110-2-1100 (Part VI). 28 September 2011 (Change 3)." xr:uid="{6E4F2E9C-0ECE-4DC0-B804-8837C4844E9A}"/>
    <hyperlink ref="B39:M39" r:id="rId4" display="Pemberton, E.L., and J.M. Lara. 1984. Computing Degradation and Local Scour: Technical Guideline for Bureau of Reclamation. U.S. Dept. of Interior, Bureau of Reclamation Engineering Research Center. Denver, CO. January 1984." xr:uid="{A258DE3E-7AA1-44D7-8968-C3C0C36D7497}"/>
    <hyperlink ref="B40:M40" r:id="rId5" display="Baird, D et al. 2019. Guidelines for Evaluating Pipeline Channel Crossing Hazards to Ensure Effective Burial. U.S. Dept. of Interior, Bureau of Reclamation Technical Service Center. Denver, CO. September 2019." xr:uid="{8A8D4CF9-0B7B-4708-BC22-9392ED342703}"/>
  </hyperlinks>
  <pageMargins left="0.7" right="0.7" top="0.75" bottom="0.75" header="0.3" footer="0.3"/>
  <pageSetup orientation="portrait" horizontalDpi="4294967293" verticalDpi="0" r:id="rId6"/>
  <drawing r:id="rId7"/>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33C1CD7-398C-4063-8E03-E295D4E96E92}">
  <sheetPr>
    <tabColor theme="9"/>
  </sheetPr>
  <dimension ref="B1:EE50"/>
  <sheetViews>
    <sheetView showGridLines="0" topLeftCell="A9" zoomScale="70" zoomScaleNormal="70" zoomScalePageLayoutView="55" workbookViewId="0">
      <selection activeCell="C10" sqref="C10"/>
    </sheetView>
  </sheetViews>
  <sheetFormatPr defaultRowHeight="15"/>
  <cols>
    <col min="1" max="1" width="3.7109375" style="9" customWidth="1"/>
    <col min="2" max="2" width="34.85546875" style="94" customWidth="1"/>
    <col min="3" max="3" width="13" style="94" customWidth="1"/>
    <col min="4" max="7" width="9.140625" style="94"/>
    <col min="8" max="8" width="9.140625" style="9"/>
    <col min="9" max="9" width="30.140625" style="9" customWidth="1"/>
    <col min="10" max="10" width="3.7109375" style="9" customWidth="1"/>
    <col min="11" max="11" width="4.85546875" style="26" customWidth="1"/>
    <col min="12" max="12" width="17.85546875" style="26" customWidth="1"/>
    <col min="13" max="13" width="9.140625" style="152"/>
    <col min="14" max="14" width="19.7109375" style="152" customWidth="1"/>
    <col min="15" max="23" width="9.140625" style="152"/>
    <col min="24" max="27" width="9.140625" style="26"/>
    <col min="28" max="30" width="9.140625" style="100"/>
    <col min="31" max="57" width="9.140625" style="26"/>
    <col min="58" max="58" width="9.140625" style="26" customWidth="1"/>
    <col min="59" max="70" width="9.140625" style="100"/>
    <col min="71" max="135" width="9.140625" style="26"/>
    <col min="136" max="16384" width="9.140625" style="9"/>
  </cols>
  <sheetData>
    <row r="1" spans="2:29" ht="21">
      <c r="B1" s="99" t="s">
        <v>527</v>
      </c>
    </row>
    <row r="2" spans="2:29">
      <c r="B2" s="48" t="s">
        <v>513</v>
      </c>
    </row>
    <row r="3" spans="2:29">
      <c r="B3" s="48" t="s">
        <v>624</v>
      </c>
    </row>
    <row r="4" spans="2:29">
      <c r="B4" s="48" t="s">
        <v>514</v>
      </c>
    </row>
    <row r="5" spans="2:29">
      <c r="L5" s="26" t="s">
        <v>621</v>
      </c>
    </row>
    <row r="6" spans="2:29">
      <c r="B6" s="10" t="s">
        <v>329</v>
      </c>
      <c r="C6" s="9"/>
      <c r="D6" s="9"/>
      <c r="E6" s="9"/>
      <c r="F6" s="9"/>
      <c r="G6" s="9"/>
    </row>
    <row r="7" spans="2:29">
      <c r="B7" s="14" t="s">
        <v>7</v>
      </c>
      <c r="C7" s="170"/>
      <c r="D7" s="170"/>
      <c r="E7" s="170"/>
      <c r="F7" s="170"/>
      <c r="G7" s="170"/>
      <c r="H7" s="170"/>
      <c r="I7" s="170"/>
      <c r="L7" s="178"/>
      <c r="M7" s="178"/>
      <c r="N7" s="178"/>
      <c r="O7" s="178"/>
      <c r="P7" s="178"/>
      <c r="Q7" s="178"/>
      <c r="R7" s="178"/>
      <c r="S7" s="178"/>
      <c r="T7" s="178"/>
      <c r="U7" s="178"/>
    </row>
    <row r="8" spans="2:29" ht="15.75" thickBot="1">
      <c r="B8" s="41" t="s">
        <v>8</v>
      </c>
      <c r="C8" s="171"/>
      <c r="D8" s="171"/>
      <c r="E8" s="171"/>
      <c r="F8" s="171"/>
      <c r="G8" s="171"/>
      <c r="H8" s="171"/>
      <c r="I8" s="171"/>
      <c r="L8" s="178"/>
      <c r="M8" s="178"/>
      <c r="N8" s="178"/>
      <c r="O8" s="178"/>
      <c r="P8" s="178"/>
      <c r="Q8" s="178"/>
      <c r="R8" s="178"/>
      <c r="S8" s="178"/>
      <c r="T8" s="178"/>
      <c r="U8" s="178"/>
    </row>
    <row r="9" spans="2:29">
      <c r="B9" s="37" t="s">
        <v>495</v>
      </c>
      <c r="C9" s="108"/>
      <c r="D9" s="17" t="s">
        <v>9</v>
      </c>
      <c r="E9" s="172" t="s">
        <v>519</v>
      </c>
      <c r="F9" s="173"/>
      <c r="G9" s="173"/>
      <c r="H9" s="173"/>
      <c r="I9" s="174"/>
      <c r="L9" s="178"/>
      <c r="M9" s="178"/>
      <c r="N9" s="178"/>
      <c r="O9" s="178"/>
      <c r="P9" s="178"/>
      <c r="Q9" s="178"/>
      <c r="R9" s="178"/>
      <c r="S9" s="178"/>
      <c r="T9" s="178"/>
      <c r="U9" s="178"/>
    </row>
    <row r="10" spans="2:29">
      <c r="B10" s="37" t="s">
        <v>520</v>
      </c>
      <c r="C10" s="108"/>
      <c r="D10" s="17" t="s">
        <v>9</v>
      </c>
      <c r="E10" s="125" t="s">
        <v>536</v>
      </c>
      <c r="F10" s="126"/>
      <c r="G10" s="126"/>
      <c r="H10" s="126"/>
      <c r="I10" s="127"/>
      <c r="L10" s="178"/>
      <c r="M10" s="178"/>
      <c r="N10" s="178"/>
      <c r="O10" s="178"/>
      <c r="P10" s="178"/>
      <c r="Q10" s="178"/>
      <c r="R10" s="178"/>
      <c r="S10" s="178"/>
      <c r="T10" s="178"/>
      <c r="U10" s="178"/>
    </row>
    <row r="11" spans="2:29">
      <c r="B11" s="14" t="s">
        <v>497</v>
      </c>
      <c r="C11" s="108"/>
      <c r="D11" s="15" t="s">
        <v>10</v>
      </c>
      <c r="E11" s="125" t="s">
        <v>498</v>
      </c>
      <c r="F11" s="126"/>
      <c r="G11" s="126"/>
      <c r="H11" s="126"/>
      <c r="I11" s="127"/>
      <c r="L11" s="178"/>
      <c r="M11" s="178"/>
      <c r="N11" s="178"/>
      <c r="O11" s="178"/>
      <c r="P11" s="178"/>
      <c r="Q11" s="178"/>
      <c r="R11" s="178"/>
      <c r="S11" s="178"/>
      <c r="T11" s="178"/>
      <c r="U11" s="178"/>
    </row>
    <row r="12" spans="2:29">
      <c r="B12" s="14" t="s">
        <v>522</v>
      </c>
      <c r="C12" s="108"/>
      <c r="D12" s="15" t="s">
        <v>10</v>
      </c>
      <c r="E12" s="125" t="s">
        <v>523</v>
      </c>
      <c r="F12" s="126"/>
      <c r="G12" s="126"/>
      <c r="H12" s="126"/>
      <c r="I12" s="127"/>
      <c r="L12" s="178"/>
      <c r="M12" s="178"/>
      <c r="N12" s="178"/>
      <c r="O12" s="178"/>
      <c r="P12" s="178"/>
      <c r="Q12" s="178"/>
      <c r="R12" s="178"/>
      <c r="S12" s="178"/>
      <c r="T12" s="178"/>
      <c r="U12" s="178"/>
      <c r="AB12" s="100" t="s">
        <v>502</v>
      </c>
      <c r="AC12" s="100" t="s">
        <v>563</v>
      </c>
    </row>
    <row r="13" spans="2:29">
      <c r="B13" s="14" t="s">
        <v>521</v>
      </c>
      <c r="C13" s="108"/>
      <c r="D13" s="15" t="s">
        <v>10</v>
      </c>
      <c r="E13" s="125" t="s">
        <v>524</v>
      </c>
      <c r="F13" s="126"/>
      <c r="G13" s="126"/>
      <c r="H13" s="126"/>
      <c r="I13" s="127"/>
      <c r="L13" s="178"/>
      <c r="M13" s="178"/>
      <c r="N13" s="178"/>
      <c r="O13" s="178"/>
      <c r="P13" s="178"/>
      <c r="Q13" s="178"/>
      <c r="R13" s="178"/>
      <c r="S13" s="178"/>
      <c r="T13" s="178"/>
      <c r="U13" s="178"/>
      <c r="AB13" s="100" t="s">
        <v>503</v>
      </c>
      <c r="AC13" s="100" t="s">
        <v>553</v>
      </c>
    </row>
    <row r="14" spans="2:29">
      <c r="B14" s="14" t="s">
        <v>526</v>
      </c>
      <c r="C14" s="108"/>
      <c r="D14" s="15" t="s">
        <v>10</v>
      </c>
      <c r="E14" s="125" t="s">
        <v>622</v>
      </c>
      <c r="F14" s="126"/>
      <c r="G14" s="126"/>
      <c r="H14" s="126"/>
      <c r="I14" s="127"/>
      <c r="L14" s="178"/>
      <c r="M14" s="178"/>
      <c r="N14" s="178"/>
      <c r="O14" s="178"/>
      <c r="P14" s="178"/>
      <c r="Q14" s="178"/>
      <c r="R14" s="178"/>
      <c r="S14" s="178"/>
      <c r="T14" s="178"/>
      <c r="U14" s="178"/>
      <c r="AB14" s="100" t="s">
        <v>504</v>
      </c>
    </row>
    <row r="15" spans="2:29">
      <c r="B15" s="37" t="s">
        <v>584</v>
      </c>
      <c r="C15" s="108"/>
      <c r="D15" s="17" t="s">
        <v>43</v>
      </c>
      <c r="E15" s="124" t="s">
        <v>525</v>
      </c>
      <c r="F15" s="126"/>
      <c r="G15" s="126"/>
      <c r="H15" s="126"/>
      <c r="I15" s="127"/>
      <c r="L15" s="178"/>
      <c r="M15" s="178"/>
      <c r="N15" s="178"/>
      <c r="O15" s="178"/>
      <c r="P15" s="178"/>
      <c r="Q15" s="178"/>
      <c r="R15" s="178"/>
      <c r="S15" s="178"/>
      <c r="T15" s="178"/>
      <c r="U15" s="178"/>
      <c r="AB15" s="100" t="s">
        <v>505</v>
      </c>
    </row>
    <row r="16" spans="2:29">
      <c r="B16" s="37" t="s">
        <v>623</v>
      </c>
      <c r="C16" s="108"/>
      <c r="D16" s="139" t="s">
        <v>63</v>
      </c>
      <c r="E16" s="140" t="s">
        <v>585</v>
      </c>
      <c r="F16" s="141"/>
      <c r="G16" s="141"/>
      <c r="H16" s="141"/>
      <c r="I16" s="142"/>
      <c r="L16" s="178"/>
      <c r="M16" s="178"/>
      <c r="N16" s="178"/>
      <c r="O16" s="178"/>
      <c r="P16" s="178"/>
      <c r="Q16" s="178"/>
      <c r="R16" s="178"/>
      <c r="S16" s="178"/>
      <c r="T16" s="178"/>
      <c r="U16" s="178"/>
      <c r="AB16" s="100" t="s">
        <v>506</v>
      </c>
    </row>
    <row r="17" spans="2:135" s="131" customFormat="1" ht="18">
      <c r="B17" s="14" t="s">
        <v>11</v>
      </c>
      <c r="C17" s="109"/>
      <c r="D17" s="15" t="s">
        <v>12</v>
      </c>
      <c r="E17" s="180" t="s">
        <v>499</v>
      </c>
      <c r="F17" s="181"/>
      <c r="G17" s="181"/>
      <c r="H17" s="181"/>
      <c r="I17" s="182"/>
      <c r="K17" s="26"/>
      <c r="L17" s="178"/>
      <c r="M17" s="178"/>
      <c r="N17" s="178"/>
      <c r="O17" s="178"/>
      <c r="P17" s="178"/>
      <c r="Q17" s="178"/>
      <c r="R17" s="178"/>
      <c r="S17" s="178"/>
      <c r="T17" s="178"/>
      <c r="U17" s="178"/>
      <c r="V17" s="152"/>
      <c r="W17" s="152"/>
      <c r="X17" s="26"/>
      <c r="Y17" s="26"/>
      <c r="Z17" s="26"/>
      <c r="AA17" s="26"/>
      <c r="AB17" s="100"/>
      <c r="AC17" s="100"/>
      <c r="AD17" s="100"/>
      <c r="AE17" s="26"/>
      <c r="AF17" s="26"/>
      <c r="AG17" s="26"/>
      <c r="AH17" s="26"/>
      <c r="AI17" s="26"/>
      <c r="AJ17" s="26"/>
      <c r="AK17" s="26"/>
      <c r="AL17" s="26"/>
      <c r="AM17" s="26"/>
      <c r="AN17" s="26"/>
      <c r="AO17" s="26"/>
      <c r="AP17" s="26"/>
      <c r="AQ17" s="26"/>
      <c r="AR17" s="26"/>
      <c r="AS17" s="26"/>
      <c r="AT17" s="26"/>
      <c r="AU17" s="26"/>
      <c r="AV17" s="26"/>
      <c r="AW17" s="26"/>
      <c r="AX17" s="26"/>
      <c r="AY17" s="26"/>
      <c r="AZ17" s="26"/>
      <c r="BA17" s="26"/>
      <c r="BB17" s="26"/>
      <c r="BC17" s="26"/>
      <c r="BD17" s="26"/>
      <c r="BE17" s="26"/>
      <c r="BF17" s="26"/>
      <c r="BG17" s="100"/>
      <c r="BH17" s="100"/>
      <c r="BI17" s="100"/>
      <c r="BJ17" s="100"/>
      <c r="BK17" s="100"/>
      <c r="BL17" s="100"/>
      <c r="BM17" s="100"/>
      <c r="BN17" s="100"/>
      <c r="BO17" s="100"/>
      <c r="BP17" s="100"/>
      <c r="BQ17" s="100"/>
      <c r="BR17" s="100"/>
      <c r="BS17" s="26"/>
      <c r="BT17" s="26"/>
      <c r="BU17" s="26"/>
      <c r="BV17" s="26"/>
      <c r="BW17" s="26"/>
      <c r="BX17" s="26"/>
      <c r="BY17" s="26"/>
      <c r="BZ17" s="26"/>
      <c r="CA17" s="26"/>
      <c r="CB17" s="26"/>
      <c r="CC17" s="26"/>
      <c r="CD17" s="26"/>
      <c r="CE17" s="26"/>
      <c r="CF17" s="26"/>
      <c r="CG17" s="26"/>
      <c r="CH17" s="26"/>
      <c r="CI17" s="26"/>
      <c r="CJ17" s="26"/>
      <c r="CK17" s="26"/>
      <c r="CL17" s="26"/>
      <c r="CM17" s="26"/>
      <c r="CN17" s="26"/>
      <c r="CO17" s="26"/>
      <c r="CP17" s="26"/>
      <c r="CQ17" s="26"/>
      <c r="CR17" s="26"/>
      <c r="CS17" s="26"/>
      <c r="CT17" s="26"/>
      <c r="CU17" s="26"/>
      <c r="CV17" s="26"/>
      <c r="CW17" s="26"/>
      <c r="CX17" s="26"/>
      <c r="CY17" s="26"/>
      <c r="CZ17" s="26"/>
      <c r="DA17" s="26"/>
      <c r="DB17" s="26"/>
      <c r="DC17" s="26"/>
      <c r="DD17" s="26"/>
      <c r="DE17" s="26"/>
      <c r="DF17" s="26"/>
      <c r="DG17" s="26"/>
      <c r="DH17" s="26"/>
      <c r="DI17" s="26"/>
      <c r="DJ17" s="26"/>
      <c r="DK17" s="26"/>
      <c r="DL17" s="26"/>
      <c r="DM17" s="26"/>
      <c r="DN17" s="26"/>
      <c r="DO17" s="26"/>
      <c r="DP17" s="26"/>
      <c r="DQ17" s="26"/>
      <c r="DR17" s="26"/>
      <c r="DS17" s="26"/>
      <c r="DT17" s="26"/>
      <c r="DU17" s="26"/>
      <c r="DV17" s="26"/>
      <c r="DW17" s="26"/>
      <c r="DX17" s="26"/>
      <c r="DY17" s="26"/>
      <c r="DZ17" s="26"/>
      <c r="EA17" s="26"/>
      <c r="EB17" s="26"/>
      <c r="EC17" s="26"/>
      <c r="ED17" s="26"/>
      <c r="EE17" s="26"/>
    </row>
    <row r="18" spans="2:135">
      <c r="B18" s="137" t="s">
        <v>569</v>
      </c>
      <c r="C18" s="150"/>
      <c r="D18" s="139" t="s">
        <v>43</v>
      </c>
      <c r="E18" s="140" t="s">
        <v>571</v>
      </c>
      <c r="F18" s="141"/>
      <c r="G18" s="141"/>
      <c r="H18" s="141"/>
      <c r="I18" s="142"/>
      <c r="L18" s="178"/>
      <c r="M18" s="178"/>
      <c r="N18" s="178"/>
      <c r="O18" s="178"/>
      <c r="P18" s="178"/>
      <c r="Q18" s="178"/>
      <c r="R18" s="178"/>
      <c r="S18" s="178"/>
      <c r="T18" s="178"/>
      <c r="U18" s="178"/>
    </row>
    <row r="19" spans="2:135" s="131" customFormat="1">
      <c r="B19" s="14" t="s">
        <v>253</v>
      </c>
      <c r="C19" s="183"/>
      <c r="D19" s="184"/>
      <c r="E19" s="125" t="s">
        <v>500</v>
      </c>
      <c r="F19" s="126"/>
      <c r="G19" s="126"/>
      <c r="H19" s="126"/>
      <c r="I19" s="127"/>
      <c r="K19" s="26"/>
      <c r="L19" s="178"/>
      <c r="M19" s="178"/>
      <c r="N19" s="178"/>
      <c r="O19" s="178"/>
      <c r="P19" s="178"/>
      <c r="Q19" s="178"/>
      <c r="R19" s="178"/>
      <c r="S19" s="178"/>
      <c r="T19" s="178"/>
      <c r="U19" s="178"/>
      <c r="V19" s="152"/>
      <c r="W19" s="152"/>
      <c r="X19" s="26"/>
      <c r="Y19" s="26"/>
      <c r="Z19" s="26"/>
      <c r="AA19" s="26"/>
      <c r="AB19" s="100"/>
      <c r="AC19" s="100"/>
      <c r="AD19" s="100"/>
      <c r="AE19" s="26"/>
      <c r="AF19" s="26"/>
      <c r="AG19" s="26"/>
      <c r="AH19" s="26"/>
      <c r="AI19" s="26"/>
      <c r="AJ19" s="26"/>
      <c r="AK19" s="26"/>
      <c r="AL19" s="26"/>
      <c r="AM19" s="26"/>
      <c r="AN19" s="26"/>
      <c r="AO19" s="26"/>
      <c r="AP19" s="26"/>
      <c r="AQ19" s="26"/>
      <c r="AR19" s="26"/>
      <c r="AS19" s="26"/>
      <c r="AT19" s="26"/>
      <c r="AU19" s="26"/>
      <c r="AV19" s="26"/>
      <c r="AW19" s="26"/>
      <c r="AX19" s="26"/>
      <c r="AY19" s="26"/>
      <c r="AZ19" s="26"/>
      <c r="BA19" s="26"/>
      <c r="BB19" s="26"/>
      <c r="BC19" s="26"/>
      <c r="BD19" s="26"/>
      <c r="BE19" s="26"/>
      <c r="BF19" s="26"/>
      <c r="BG19" s="100"/>
      <c r="BH19" s="100"/>
      <c r="BI19" s="100"/>
      <c r="BJ19" s="100"/>
      <c r="BK19" s="100"/>
      <c r="BL19" s="100"/>
      <c r="BM19" s="100"/>
      <c r="BN19" s="100"/>
      <c r="BO19" s="100"/>
      <c r="BP19" s="100"/>
      <c r="BQ19" s="100"/>
      <c r="BR19" s="100"/>
      <c r="BS19" s="26"/>
      <c r="BT19" s="26"/>
      <c r="BU19" s="26"/>
      <c r="BV19" s="26"/>
      <c r="BW19" s="26"/>
      <c r="BX19" s="26"/>
      <c r="BY19" s="26"/>
      <c r="BZ19" s="26"/>
      <c r="CA19" s="26"/>
      <c r="CB19" s="26"/>
      <c r="CC19" s="26"/>
      <c r="CD19" s="26"/>
      <c r="CE19" s="26"/>
      <c r="CF19" s="26"/>
      <c r="CG19" s="26"/>
      <c r="CH19" s="26"/>
      <c r="CI19" s="26"/>
      <c r="CJ19" s="26"/>
      <c r="CK19" s="26"/>
      <c r="CL19" s="26"/>
      <c r="CM19" s="26"/>
      <c r="CN19" s="26"/>
      <c r="CO19" s="26"/>
      <c r="CP19" s="26"/>
      <c r="CQ19" s="26"/>
      <c r="CR19" s="26"/>
      <c r="CS19" s="26"/>
      <c r="CT19" s="26"/>
      <c r="CU19" s="26"/>
      <c r="CV19" s="26"/>
      <c r="CW19" s="26"/>
      <c r="CX19" s="26"/>
      <c r="CY19" s="26"/>
      <c r="CZ19" s="26"/>
      <c r="DA19" s="26"/>
      <c r="DB19" s="26"/>
      <c r="DC19" s="26"/>
      <c r="DD19" s="26"/>
      <c r="DE19" s="26"/>
      <c r="DF19" s="26"/>
      <c r="DG19" s="26"/>
      <c r="DH19" s="26"/>
      <c r="DI19" s="26"/>
      <c r="DJ19" s="26"/>
      <c r="DK19" s="26"/>
      <c r="DL19" s="26"/>
      <c r="DM19" s="26"/>
      <c r="DN19" s="26"/>
      <c r="DO19" s="26"/>
      <c r="DP19" s="26"/>
      <c r="DQ19" s="26"/>
      <c r="DR19" s="26"/>
      <c r="DS19" s="26"/>
      <c r="DT19" s="26"/>
      <c r="DU19" s="26"/>
      <c r="DV19" s="26"/>
      <c r="DW19" s="26"/>
      <c r="DX19" s="26"/>
      <c r="DY19" s="26"/>
      <c r="DZ19" s="26"/>
      <c r="EA19" s="26"/>
      <c r="EB19" s="26"/>
      <c r="EC19" s="26"/>
      <c r="ED19" s="26"/>
      <c r="EE19" s="26"/>
    </row>
    <row r="20" spans="2:135">
      <c r="B20" s="14" t="s">
        <v>496</v>
      </c>
      <c r="C20" s="109"/>
      <c r="D20" s="15" t="s">
        <v>10</v>
      </c>
      <c r="E20" s="175" t="s">
        <v>620</v>
      </c>
      <c r="F20" s="176"/>
      <c r="G20" s="176"/>
      <c r="H20" s="176"/>
      <c r="I20" s="177"/>
      <c r="L20" s="178"/>
      <c r="M20" s="178"/>
      <c r="N20" s="178"/>
      <c r="O20" s="178"/>
      <c r="P20" s="178"/>
      <c r="Q20" s="178"/>
      <c r="R20" s="178"/>
      <c r="S20" s="178"/>
      <c r="T20" s="178"/>
      <c r="U20" s="178"/>
    </row>
    <row r="21" spans="2:135">
      <c r="B21" s="137" t="s">
        <v>587</v>
      </c>
      <c r="C21" s="109"/>
      <c r="D21" s="138" t="s">
        <v>10</v>
      </c>
      <c r="E21" s="175" t="s">
        <v>588</v>
      </c>
      <c r="F21" s="176"/>
      <c r="G21" s="176"/>
      <c r="H21" s="176"/>
      <c r="I21" s="177"/>
      <c r="L21" s="178"/>
      <c r="M21" s="178"/>
      <c r="N21" s="178"/>
      <c r="O21" s="178"/>
      <c r="P21" s="178"/>
      <c r="Q21" s="178"/>
      <c r="R21" s="178"/>
      <c r="S21" s="178"/>
      <c r="T21" s="178"/>
      <c r="U21" s="178"/>
    </row>
    <row r="22" spans="2:135" s="131" customFormat="1">
      <c r="B22" s="94"/>
      <c r="C22" s="94"/>
      <c r="D22" s="94"/>
      <c r="E22" s="94"/>
      <c r="F22" s="94"/>
      <c r="G22" s="94"/>
      <c r="H22" s="9"/>
      <c r="I22" s="9"/>
      <c r="K22" s="26"/>
      <c r="L22" s="178"/>
      <c r="M22" s="178"/>
      <c r="N22" s="178"/>
      <c r="O22" s="178"/>
      <c r="P22" s="178"/>
      <c r="Q22" s="178"/>
      <c r="R22" s="178"/>
      <c r="S22" s="178"/>
      <c r="T22" s="178"/>
      <c r="U22" s="178"/>
      <c r="V22" s="152"/>
      <c r="W22" s="152"/>
      <c r="X22" s="26"/>
      <c r="Y22" s="26"/>
      <c r="Z22" s="26"/>
      <c r="AA22" s="26"/>
      <c r="AB22" s="100"/>
      <c r="AC22" s="100"/>
      <c r="AD22" s="100"/>
      <c r="AE22" s="26"/>
      <c r="AF22" s="26"/>
      <c r="AG22" s="26"/>
      <c r="AH22" s="26"/>
      <c r="AI22" s="26"/>
      <c r="AJ22" s="26"/>
      <c r="AK22" s="26"/>
      <c r="AL22" s="26"/>
      <c r="AM22" s="26"/>
      <c r="AN22" s="26"/>
      <c r="AO22" s="26"/>
      <c r="AP22" s="26"/>
      <c r="AQ22" s="26"/>
      <c r="AR22" s="26"/>
      <c r="AS22" s="26"/>
      <c r="AT22" s="26"/>
      <c r="AU22" s="26"/>
      <c r="AV22" s="26"/>
      <c r="AW22" s="26"/>
      <c r="AX22" s="26"/>
      <c r="AY22" s="26"/>
      <c r="AZ22" s="26"/>
      <c r="BA22" s="26"/>
      <c r="BB22" s="26"/>
      <c r="BC22" s="26"/>
      <c r="BD22" s="26"/>
      <c r="BE22" s="26"/>
      <c r="BF22" s="26"/>
      <c r="BG22" s="100"/>
      <c r="BH22" s="100"/>
      <c r="BI22" s="100"/>
      <c r="BJ22" s="100"/>
      <c r="BK22" s="100"/>
      <c r="BL22" s="100"/>
      <c r="BM22" s="100"/>
      <c r="BN22" s="100"/>
      <c r="BO22" s="100"/>
      <c r="BP22" s="100"/>
      <c r="BQ22" s="100"/>
      <c r="BR22" s="100"/>
      <c r="BS22" s="26"/>
      <c r="BT22" s="26"/>
      <c r="BU22" s="26"/>
      <c r="BV22" s="26"/>
      <c r="BW22" s="26"/>
      <c r="BX22" s="26"/>
      <c r="BY22" s="26"/>
      <c r="BZ22" s="26"/>
      <c r="CA22" s="26"/>
      <c r="CB22" s="26"/>
      <c r="CC22" s="26"/>
      <c r="CD22" s="26"/>
      <c r="CE22" s="26"/>
      <c r="CF22" s="26"/>
      <c r="CG22" s="26"/>
      <c r="CH22" s="26"/>
      <c r="CI22" s="26"/>
      <c r="CJ22" s="26"/>
      <c r="CK22" s="26"/>
      <c r="CL22" s="26"/>
      <c r="CM22" s="26"/>
      <c r="CN22" s="26"/>
      <c r="CO22" s="26"/>
      <c r="CP22" s="26"/>
      <c r="CQ22" s="26"/>
      <c r="CR22" s="26"/>
      <c r="CS22" s="26"/>
      <c r="CT22" s="26"/>
      <c r="CU22" s="26"/>
      <c r="CV22" s="26"/>
      <c r="CW22" s="26"/>
      <c r="CX22" s="26"/>
      <c r="CY22" s="26"/>
      <c r="CZ22" s="26"/>
      <c r="DA22" s="26"/>
      <c r="DB22" s="26"/>
      <c r="DC22" s="26"/>
      <c r="DD22" s="26"/>
      <c r="DE22" s="26"/>
      <c r="DF22" s="26"/>
      <c r="DG22" s="26"/>
      <c r="DH22" s="26"/>
      <c r="DI22" s="26"/>
      <c r="DJ22" s="26"/>
      <c r="DK22" s="26"/>
      <c r="DL22" s="26"/>
      <c r="DM22" s="26"/>
      <c r="DN22" s="26"/>
      <c r="DO22" s="26"/>
      <c r="DP22" s="26"/>
      <c r="DQ22" s="26"/>
      <c r="DR22" s="26"/>
      <c r="DS22" s="26"/>
      <c r="DT22" s="26"/>
      <c r="DU22" s="26"/>
      <c r="DV22" s="26"/>
      <c r="DW22" s="26"/>
      <c r="DX22" s="26"/>
      <c r="DY22" s="26"/>
      <c r="DZ22" s="26"/>
      <c r="EA22" s="26"/>
      <c r="EB22" s="26"/>
      <c r="EC22" s="26"/>
      <c r="ED22" s="26"/>
      <c r="EE22" s="26"/>
    </row>
    <row r="23" spans="2:135">
      <c r="L23" s="178"/>
      <c r="M23" s="178"/>
      <c r="N23" s="178"/>
      <c r="O23" s="178"/>
      <c r="P23" s="178"/>
      <c r="Q23" s="178"/>
      <c r="R23" s="178"/>
      <c r="S23" s="178"/>
      <c r="T23" s="178"/>
      <c r="U23" s="178"/>
    </row>
    <row r="24" spans="2:135">
      <c r="B24" s="10" t="s">
        <v>106</v>
      </c>
      <c r="L24" s="178"/>
      <c r="M24" s="178"/>
      <c r="N24" s="178"/>
      <c r="O24" s="178"/>
      <c r="P24" s="178"/>
      <c r="Q24" s="178"/>
      <c r="R24" s="178"/>
      <c r="S24" s="178"/>
      <c r="T24" s="178"/>
      <c r="U24" s="178"/>
    </row>
    <row r="25" spans="2:135">
      <c r="B25" s="189" t="str">
        <f>IF(C7="","",C7)</f>
        <v/>
      </c>
      <c r="C25" s="190"/>
      <c r="D25" s="191"/>
      <c r="L25" s="178"/>
      <c r="M25" s="178"/>
      <c r="N25" s="178"/>
      <c r="O25" s="178"/>
      <c r="P25" s="178"/>
      <c r="Q25" s="178"/>
      <c r="R25" s="178"/>
      <c r="S25" s="178"/>
      <c r="T25" s="178"/>
      <c r="U25" s="178"/>
    </row>
    <row r="26" spans="2:135">
      <c r="B26" s="189" t="str">
        <f>IF(C8="","",C8)</f>
        <v/>
      </c>
      <c r="C26" s="190"/>
      <c r="D26" s="191"/>
      <c r="L26" s="178"/>
      <c r="M26" s="178"/>
      <c r="N26" s="178"/>
      <c r="O26" s="178"/>
      <c r="P26" s="178"/>
      <c r="Q26" s="178"/>
      <c r="R26" s="178"/>
      <c r="S26" s="178"/>
      <c r="T26" s="178"/>
      <c r="U26" s="178"/>
    </row>
    <row r="27" spans="2:135">
      <c r="B27" s="169" t="s">
        <v>586</v>
      </c>
      <c r="C27" s="169"/>
      <c r="D27" s="169"/>
      <c r="E27" s="134"/>
      <c r="F27" s="134"/>
      <c r="G27" s="134"/>
      <c r="H27" s="131"/>
      <c r="I27" s="131"/>
    </row>
    <row r="28" spans="2:135" s="131" customFormat="1">
      <c r="B28" s="68" t="s">
        <v>256</v>
      </c>
      <c r="C28" s="79" t="str">
        <f>General!C182</f>
        <v/>
      </c>
      <c r="D28" s="70" t="s">
        <v>10</v>
      </c>
      <c r="E28" s="134"/>
      <c r="F28" s="134"/>
      <c r="G28" s="134"/>
      <c r="K28" s="26"/>
      <c r="L28" s="26"/>
      <c r="M28" s="152"/>
      <c r="N28" s="152"/>
      <c r="O28" s="152"/>
      <c r="P28" s="152"/>
      <c r="Q28" s="152"/>
      <c r="R28" s="152"/>
      <c r="S28" s="152"/>
      <c r="T28" s="152"/>
      <c r="U28" s="152"/>
      <c r="V28" s="152"/>
      <c r="W28" s="152"/>
      <c r="X28" s="26"/>
      <c r="Y28" s="26"/>
      <c r="Z28" s="26"/>
      <c r="AA28" s="26"/>
      <c r="AB28" s="100"/>
      <c r="AC28" s="100"/>
      <c r="AD28" s="100"/>
      <c r="AE28" s="26"/>
      <c r="AF28" s="26"/>
      <c r="AG28" s="26"/>
      <c r="AH28" s="26"/>
      <c r="AI28" s="26"/>
      <c r="AJ28" s="26"/>
      <c r="AK28" s="26"/>
      <c r="AL28" s="26"/>
      <c r="AM28" s="26"/>
      <c r="AN28" s="26"/>
      <c r="AO28" s="26"/>
      <c r="AP28" s="26"/>
      <c r="AQ28" s="26"/>
      <c r="AR28" s="26"/>
      <c r="AS28" s="26"/>
      <c r="AT28" s="26"/>
      <c r="AU28" s="26"/>
      <c r="AV28" s="26"/>
      <c r="AW28" s="26"/>
      <c r="AX28" s="26"/>
      <c r="AY28" s="26"/>
      <c r="AZ28" s="26"/>
      <c r="BA28" s="26"/>
      <c r="BB28" s="26"/>
      <c r="BC28" s="26"/>
      <c r="BD28" s="26"/>
      <c r="BE28" s="26"/>
      <c r="BF28" s="26"/>
      <c r="BG28" s="100"/>
      <c r="BH28" s="100"/>
      <c r="BI28" s="100"/>
      <c r="BJ28" s="100"/>
      <c r="BK28" s="100"/>
      <c r="BL28" s="100"/>
      <c r="BM28" s="100"/>
      <c r="BN28" s="100"/>
      <c r="BO28" s="100"/>
      <c r="BP28" s="100"/>
      <c r="BQ28" s="100"/>
      <c r="BR28" s="100"/>
      <c r="BS28" s="26"/>
      <c r="BT28" s="26"/>
      <c r="BU28" s="26"/>
      <c r="BV28" s="26"/>
      <c r="BW28" s="26"/>
      <c r="BX28" s="26"/>
      <c r="BY28" s="26"/>
      <c r="BZ28" s="26"/>
      <c r="CA28" s="26"/>
      <c r="CB28" s="26"/>
      <c r="CC28" s="26"/>
      <c r="CD28" s="26"/>
      <c r="CE28" s="26"/>
      <c r="CF28" s="26"/>
      <c r="CG28" s="26"/>
      <c r="CH28" s="26"/>
      <c r="CI28" s="26"/>
      <c r="CJ28" s="26"/>
      <c r="CK28" s="26"/>
      <c r="CL28" s="26"/>
      <c r="CM28" s="26"/>
      <c r="CN28" s="26"/>
      <c r="CO28" s="26"/>
      <c r="CP28" s="26"/>
      <c r="CQ28" s="26"/>
      <c r="CR28" s="26"/>
      <c r="CS28" s="26"/>
      <c r="CT28" s="26"/>
      <c r="CU28" s="26"/>
      <c r="CV28" s="26"/>
      <c r="CW28" s="26"/>
      <c r="CX28" s="26"/>
      <c r="CY28" s="26"/>
      <c r="CZ28" s="26"/>
      <c r="DA28" s="26"/>
      <c r="DB28" s="26"/>
      <c r="DC28" s="26"/>
      <c r="DD28" s="26"/>
      <c r="DE28" s="26"/>
      <c r="DF28" s="26"/>
      <c r="DG28" s="26"/>
      <c r="DH28" s="26"/>
      <c r="DI28" s="26"/>
      <c r="DJ28" s="26"/>
      <c r="DK28" s="26"/>
      <c r="DL28" s="26"/>
      <c r="DM28" s="26"/>
      <c r="DN28" s="26"/>
      <c r="DO28" s="26"/>
      <c r="DP28" s="26"/>
      <c r="DQ28" s="26"/>
      <c r="DR28" s="26"/>
      <c r="DS28" s="26"/>
      <c r="DT28" s="26"/>
      <c r="DU28" s="26"/>
      <c r="DV28" s="26"/>
      <c r="DW28" s="26"/>
      <c r="DX28" s="26"/>
      <c r="DY28" s="26"/>
      <c r="DZ28" s="26"/>
      <c r="EA28" s="26"/>
      <c r="EB28" s="26"/>
      <c r="EC28" s="26"/>
      <c r="ED28" s="26"/>
      <c r="EE28" s="26"/>
    </row>
    <row r="29" spans="2:135" s="131" customFormat="1">
      <c r="B29" s="169" t="s">
        <v>518</v>
      </c>
      <c r="C29" s="169"/>
      <c r="D29" s="169"/>
      <c r="E29" s="94"/>
      <c r="F29" s="94"/>
      <c r="G29" s="94"/>
      <c r="H29" s="9"/>
      <c r="I29" s="9"/>
      <c r="K29" s="26"/>
      <c r="L29" s="26"/>
      <c r="M29" s="152"/>
      <c r="N29" s="152"/>
      <c r="O29" s="152"/>
      <c r="P29" s="152"/>
      <c r="Q29" s="152"/>
      <c r="R29" s="152"/>
      <c r="S29" s="152"/>
      <c r="T29" s="152"/>
      <c r="U29" s="152"/>
      <c r="V29" s="152"/>
      <c r="W29" s="152"/>
      <c r="X29" s="26"/>
      <c r="Y29" s="26"/>
      <c r="Z29" s="26"/>
      <c r="AA29" s="26"/>
      <c r="AB29" s="100"/>
      <c r="AC29" s="100"/>
      <c r="AD29" s="100"/>
      <c r="AE29" s="26"/>
      <c r="AF29" s="26"/>
      <c r="AG29" s="26"/>
      <c r="AH29" s="26"/>
      <c r="AI29" s="26"/>
      <c r="AJ29" s="26"/>
      <c r="AK29" s="26"/>
      <c r="AL29" s="26"/>
      <c r="AM29" s="26"/>
      <c r="AN29" s="26"/>
      <c r="AO29" s="26"/>
      <c r="AP29" s="26"/>
      <c r="AQ29" s="26"/>
      <c r="AR29" s="26"/>
      <c r="AS29" s="26"/>
      <c r="AT29" s="26"/>
      <c r="AU29" s="26"/>
      <c r="AV29" s="26"/>
      <c r="AW29" s="26"/>
      <c r="AX29" s="26"/>
      <c r="AY29" s="26"/>
      <c r="AZ29" s="26"/>
      <c r="BA29" s="26"/>
      <c r="BB29" s="26"/>
      <c r="BC29" s="26"/>
      <c r="BD29" s="26"/>
      <c r="BE29" s="26"/>
      <c r="BF29" s="26"/>
      <c r="BG29" s="100"/>
      <c r="BH29" s="100"/>
      <c r="BI29" s="100"/>
      <c r="BJ29" s="100"/>
      <c r="BK29" s="100"/>
      <c r="BL29" s="100"/>
      <c r="BM29" s="100"/>
      <c r="BN29" s="100"/>
      <c r="BO29" s="100"/>
      <c r="BP29" s="100"/>
      <c r="BQ29" s="100"/>
      <c r="BR29" s="100"/>
      <c r="BS29" s="26"/>
      <c r="BT29" s="26"/>
      <c r="BU29" s="26"/>
      <c r="BV29" s="26"/>
      <c r="BW29" s="26"/>
      <c r="BX29" s="26"/>
      <c r="BY29" s="26"/>
      <c r="BZ29" s="26"/>
      <c r="CA29" s="26"/>
      <c r="CB29" s="26"/>
      <c r="CC29" s="26"/>
      <c r="CD29" s="26"/>
      <c r="CE29" s="26"/>
      <c r="CF29" s="26"/>
      <c r="CG29" s="26"/>
      <c r="CH29" s="26"/>
      <c r="CI29" s="26"/>
      <c r="CJ29" s="26"/>
      <c r="CK29" s="26"/>
      <c r="CL29" s="26"/>
      <c r="CM29" s="26"/>
      <c r="CN29" s="26"/>
      <c r="CO29" s="26"/>
      <c r="CP29" s="26"/>
      <c r="CQ29" s="26"/>
      <c r="CR29" s="26"/>
      <c r="CS29" s="26"/>
      <c r="CT29" s="26"/>
      <c r="CU29" s="26"/>
      <c r="CV29" s="26"/>
      <c r="CW29" s="26"/>
      <c r="CX29" s="26"/>
      <c r="CY29" s="26"/>
      <c r="CZ29" s="26"/>
      <c r="DA29" s="26"/>
      <c r="DB29" s="26"/>
      <c r="DC29" s="26"/>
      <c r="DD29" s="26"/>
      <c r="DE29" s="26"/>
      <c r="DF29" s="26"/>
      <c r="DG29" s="26"/>
      <c r="DH29" s="26"/>
      <c r="DI29" s="26"/>
      <c r="DJ29" s="26"/>
      <c r="DK29" s="26"/>
      <c r="DL29" s="26"/>
      <c r="DM29" s="26"/>
      <c r="DN29" s="26"/>
      <c r="DO29" s="26"/>
      <c r="DP29" s="26"/>
      <c r="DQ29" s="26"/>
      <c r="DR29" s="26"/>
      <c r="DS29" s="26"/>
      <c r="DT29" s="26"/>
      <c r="DU29" s="26"/>
      <c r="DV29" s="26"/>
      <c r="DW29" s="26"/>
      <c r="DX29" s="26"/>
      <c r="DY29" s="26"/>
      <c r="DZ29" s="26"/>
      <c r="EA29" s="26"/>
      <c r="EB29" s="26"/>
      <c r="EC29" s="26"/>
      <c r="ED29" s="26"/>
      <c r="EE29" s="26"/>
    </row>
    <row r="30" spans="2:135">
      <c r="B30" s="68" t="s">
        <v>256</v>
      </c>
      <c r="C30" s="79" t="str">
        <f>General!C183</f>
        <v/>
      </c>
      <c r="D30" s="70" t="s">
        <v>10</v>
      </c>
    </row>
    <row r="31" spans="2:135">
      <c r="B31" s="169" t="s">
        <v>512</v>
      </c>
      <c r="C31" s="169"/>
      <c r="D31" s="169"/>
    </row>
    <row r="32" spans="2:135">
      <c r="B32" s="68" t="s">
        <v>256</v>
      </c>
      <c r="C32" s="79" t="str">
        <f>General!C184</f>
        <v/>
      </c>
      <c r="D32" s="70" t="s">
        <v>10</v>
      </c>
    </row>
    <row r="33" spans="2:135">
      <c r="B33" s="169" t="s">
        <v>511</v>
      </c>
      <c r="C33" s="169"/>
      <c r="D33" s="169"/>
    </row>
    <row r="34" spans="2:135">
      <c r="B34" s="68" t="s">
        <v>510</v>
      </c>
      <c r="C34" s="79" t="str">
        <f>General!C185</f>
        <v/>
      </c>
      <c r="D34" s="69" t="s">
        <v>10</v>
      </c>
    </row>
    <row r="35" spans="2:135">
      <c r="B35" s="169" t="s">
        <v>574</v>
      </c>
      <c r="C35" s="169"/>
      <c r="D35" s="169"/>
    </row>
    <row r="36" spans="2:135">
      <c r="B36" s="68" t="s">
        <v>256</v>
      </c>
      <c r="C36" s="79" t="str">
        <f>General!C186</f>
        <v/>
      </c>
      <c r="D36" s="70" t="s">
        <v>10</v>
      </c>
    </row>
    <row r="37" spans="2:135">
      <c r="B37" s="169" t="s">
        <v>575</v>
      </c>
      <c r="C37" s="169"/>
      <c r="D37" s="169"/>
      <c r="E37" s="134"/>
      <c r="F37" s="134"/>
      <c r="G37" s="134"/>
      <c r="H37" s="131"/>
      <c r="I37" s="131"/>
    </row>
    <row r="38" spans="2:135" s="131" customFormat="1">
      <c r="B38" s="68" t="s">
        <v>256</v>
      </c>
      <c r="C38" s="79" t="str">
        <f>General!C187</f>
        <v/>
      </c>
      <c r="D38" s="70" t="s">
        <v>10</v>
      </c>
      <c r="E38" s="134"/>
      <c r="F38" s="134"/>
      <c r="G38" s="134"/>
      <c r="K38" s="26"/>
      <c r="L38" s="26"/>
      <c r="M38" s="152"/>
      <c r="N38" s="152"/>
      <c r="O38" s="152"/>
      <c r="P38" s="152"/>
      <c r="Q38" s="152"/>
      <c r="R38" s="152"/>
      <c r="S38" s="152"/>
      <c r="T38" s="152"/>
      <c r="U38" s="152"/>
      <c r="V38" s="152"/>
      <c r="W38" s="152"/>
      <c r="X38" s="26"/>
      <c r="Y38" s="26"/>
      <c r="Z38" s="26"/>
      <c r="AA38" s="26"/>
      <c r="AB38" s="100"/>
      <c r="AC38" s="100"/>
      <c r="AD38" s="100"/>
      <c r="AE38" s="26"/>
      <c r="AF38" s="26"/>
      <c r="AG38" s="26"/>
      <c r="AH38" s="26"/>
      <c r="AI38" s="26"/>
      <c r="AJ38" s="26"/>
      <c r="AK38" s="26"/>
      <c r="AL38" s="26"/>
      <c r="AM38" s="26"/>
      <c r="AN38" s="26"/>
      <c r="AO38" s="26"/>
      <c r="AP38" s="26"/>
      <c r="AQ38" s="26"/>
      <c r="AR38" s="26"/>
      <c r="AS38" s="26"/>
      <c r="AT38" s="26"/>
      <c r="AU38" s="26"/>
      <c r="AV38" s="26"/>
      <c r="AW38" s="26"/>
      <c r="AX38" s="26"/>
      <c r="AY38" s="26"/>
      <c r="AZ38" s="26"/>
      <c r="BA38" s="26"/>
      <c r="BB38" s="26"/>
      <c r="BC38" s="26"/>
      <c r="BD38" s="26"/>
      <c r="BE38" s="26"/>
      <c r="BF38" s="26"/>
      <c r="BG38" s="100"/>
      <c r="BH38" s="100"/>
      <c r="BI38" s="100"/>
      <c r="BJ38" s="100"/>
      <c r="BK38" s="100"/>
      <c r="BL38" s="100"/>
      <c r="BM38" s="100"/>
      <c r="BN38" s="100"/>
      <c r="BO38" s="100"/>
      <c r="BP38" s="100"/>
      <c r="BQ38" s="100"/>
      <c r="BR38" s="100"/>
      <c r="BS38" s="26"/>
      <c r="BT38" s="26"/>
      <c r="BU38" s="26"/>
      <c r="BV38" s="26"/>
      <c r="BW38" s="26"/>
      <c r="BX38" s="26"/>
      <c r="BY38" s="26"/>
      <c r="BZ38" s="26"/>
      <c r="CA38" s="26"/>
      <c r="CB38" s="26"/>
      <c r="CC38" s="26"/>
      <c r="CD38" s="26"/>
      <c r="CE38" s="26"/>
      <c r="CF38" s="26"/>
      <c r="CG38" s="26"/>
      <c r="CH38" s="26"/>
      <c r="CI38" s="26"/>
      <c r="CJ38" s="26"/>
      <c r="CK38" s="26"/>
      <c r="CL38" s="26"/>
      <c r="CM38" s="26"/>
      <c r="CN38" s="26"/>
      <c r="CO38" s="26"/>
      <c r="CP38" s="26"/>
      <c r="CQ38" s="26"/>
      <c r="CR38" s="26"/>
      <c r="CS38" s="26"/>
      <c r="CT38" s="26"/>
      <c r="CU38" s="26"/>
      <c r="CV38" s="26"/>
      <c r="CW38" s="26"/>
      <c r="CX38" s="26"/>
      <c r="CY38" s="26"/>
      <c r="CZ38" s="26"/>
      <c r="DA38" s="26"/>
      <c r="DB38" s="26"/>
      <c r="DC38" s="26"/>
      <c r="DD38" s="26"/>
      <c r="DE38" s="26"/>
      <c r="DF38" s="26"/>
      <c r="DG38" s="26"/>
      <c r="DH38" s="26"/>
      <c r="DI38" s="26"/>
      <c r="DJ38" s="26"/>
      <c r="DK38" s="26"/>
      <c r="DL38" s="26"/>
      <c r="DM38" s="26"/>
      <c r="DN38" s="26"/>
      <c r="DO38" s="26"/>
      <c r="DP38" s="26"/>
      <c r="DQ38" s="26"/>
      <c r="DR38" s="26"/>
      <c r="DS38" s="26"/>
      <c r="DT38" s="26"/>
      <c r="DU38" s="26"/>
      <c r="DV38" s="26"/>
      <c r="DW38" s="26"/>
      <c r="DX38" s="26"/>
      <c r="DY38" s="26"/>
      <c r="DZ38" s="26"/>
      <c r="EA38" s="26"/>
      <c r="EB38" s="26"/>
      <c r="EC38" s="26"/>
      <c r="ED38" s="26"/>
      <c r="EE38" s="26"/>
    </row>
    <row r="39" spans="2:135" s="131" customFormat="1">
      <c r="B39" s="169" t="s">
        <v>508</v>
      </c>
      <c r="C39" s="169"/>
      <c r="D39" s="169"/>
      <c r="E39" s="94"/>
      <c r="F39" s="94"/>
      <c r="G39" s="94"/>
      <c r="H39" s="9"/>
      <c r="I39" s="9"/>
      <c r="K39" s="26"/>
      <c r="L39" s="26"/>
      <c r="M39" s="152"/>
      <c r="N39" s="152"/>
      <c r="O39" s="152"/>
      <c r="P39" s="152"/>
      <c r="Q39" s="152"/>
      <c r="R39" s="152"/>
      <c r="S39" s="152"/>
      <c r="T39" s="152"/>
      <c r="U39" s="152"/>
      <c r="V39" s="152"/>
      <c r="W39" s="152"/>
      <c r="X39" s="26"/>
      <c r="Y39" s="26"/>
      <c r="Z39" s="26"/>
      <c r="AA39" s="26"/>
      <c r="AB39" s="100"/>
      <c r="AC39" s="100"/>
      <c r="AD39" s="100"/>
      <c r="AE39" s="26"/>
      <c r="AF39" s="26"/>
      <c r="AG39" s="26"/>
      <c r="AH39" s="26"/>
      <c r="AI39" s="26"/>
      <c r="AJ39" s="26"/>
      <c r="AK39" s="26"/>
      <c r="AL39" s="26"/>
      <c r="AM39" s="26"/>
      <c r="AN39" s="26"/>
      <c r="AO39" s="26"/>
      <c r="AP39" s="26"/>
      <c r="AQ39" s="26"/>
      <c r="AR39" s="26"/>
      <c r="AS39" s="26"/>
      <c r="AT39" s="26"/>
      <c r="AU39" s="26"/>
      <c r="AV39" s="26"/>
      <c r="AW39" s="26"/>
      <c r="AX39" s="26"/>
      <c r="AY39" s="26"/>
      <c r="AZ39" s="26"/>
      <c r="BA39" s="26"/>
      <c r="BB39" s="26"/>
      <c r="BC39" s="26"/>
      <c r="BD39" s="26"/>
      <c r="BE39" s="26"/>
      <c r="BF39" s="26"/>
      <c r="BG39" s="100"/>
      <c r="BH39" s="100"/>
      <c r="BI39" s="100"/>
      <c r="BJ39" s="100"/>
      <c r="BK39" s="100"/>
      <c r="BL39" s="100"/>
      <c r="BM39" s="100"/>
      <c r="BN39" s="100"/>
      <c r="BO39" s="100"/>
      <c r="BP39" s="100"/>
      <c r="BQ39" s="100"/>
      <c r="BR39" s="100"/>
      <c r="BS39" s="26"/>
      <c r="BT39" s="26"/>
      <c r="BU39" s="26"/>
      <c r="BV39" s="26"/>
      <c r="BW39" s="26"/>
      <c r="BX39" s="26"/>
      <c r="BY39" s="26"/>
      <c r="BZ39" s="26"/>
      <c r="CA39" s="26"/>
      <c r="CB39" s="26"/>
      <c r="CC39" s="26"/>
      <c r="CD39" s="26"/>
      <c r="CE39" s="26"/>
      <c r="CF39" s="26"/>
      <c r="CG39" s="26"/>
      <c r="CH39" s="26"/>
      <c r="CI39" s="26"/>
      <c r="CJ39" s="26"/>
      <c r="CK39" s="26"/>
      <c r="CL39" s="26"/>
      <c r="CM39" s="26"/>
      <c r="CN39" s="26"/>
      <c r="CO39" s="26"/>
      <c r="CP39" s="26"/>
      <c r="CQ39" s="26"/>
      <c r="CR39" s="26"/>
      <c r="CS39" s="26"/>
      <c r="CT39" s="26"/>
      <c r="CU39" s="26"/>
      <c r="CV39" s="26"/>
      <c r="CW39" s="26"/>
      <c r="CX39" s="26"/>
      <c r="CY39" s="26"/>
      <c r="CZ39" s="26"/>
      <c r="DA39" s="26"/>
      <c r="DB39" s="26"/>
      <c r="DC39" s="26"/>
      <c r="DD39" s="26"/>
      <c r="DE39" s="26"/>
      <c r="DF39" s="26"/>
      <c r="DG39" s="26"/>
      <c r="DH39" s="26"/>
      <c r="DI39" s="26"/>
      <c r="DJ39" s="26"/>
      <c r="DK39" s="26"/>
      <c r="DL39" s="26"/>
      <c r="DM39" s="26"/>
      <c r="DN39" s="26"/>
      <c r="DO39" s="26"/>
      <c r="DP39" s="26"/>
      <c r="DQ39" s="26"/>
      <c r="DR39" s="26"/>
      <c r="DS39" s="26"/>
      <c r="DT39" s="26"/>
      <c r="DU39" s="26"/>
      <c r="DV39" s="26"/>
      <c r="DW39" s="26"/>
      <c r="DX39" s="26"/>
      <c r="DY39" s="26"/>
      <c r="DZ39" s="26"/>
      <c r="EA39" s="26"/>
      <c r="EB39" s="26"/>
      <c r="EC39" s="26"/>
      <c r="ED39" s="26"/>
      <c r="EE39" s="26"/>
    </row>
    <row r="40" spans="2:135">
      <c r="B40" s="68" t="s">
        <v>256</v>
      </c>
      <c r="C40" s="79" t="str">
        <f>General!C188</f>
        <v/>
      </c>
      <c r="D40" s="70" t="s">
        <v>10</v>
      </c>
    </row>
    <row r="41" spans="2:135">
      <c r="B41" s="169" t="s">
        <v>507</v>
      </c>
      <c r="C41" s="169"/>
      <c r="D41" s="169"/>
    </row>
    <row r="42" spans="2:135">
      <c r="B42" s="68" t="s">
        <v>256</v>
      </c>
      <c r="C42" s="79" t="str">
        <f>General!C189</f>
        <v/>
      </c>
      <c r="D42" s="70" t="s">
        <v>10</v>
      </c>
    </row>
    <row r="44" spans="2:135">
      <c r="B44" s="67" t="s">
        <v>509</v>
      </c>
    </row>
    <row r="45" spans="2:135">
      <c r="B45" s="185" t="str">
        <f>IF(C7="","",C7)</f>
        <v/>
      </c>
      <c r="C45" s="186"/>
      <c r="D45" s="187"/>
    </row>
    <row r="46" spans="2:135">
      <c r="B46" s="185" t="str">
        <f>IF(C8="","",C8)</f>
        <v/>
      </c>
      <c r="C46" s="186"/>
      <c r="D46" s="187"/>
    </row>
    <row r="47" spans="2:135">
      <c r="B47" s="188" t="s">
        <v>614</v>
      </c>
      <c r="C47" s="188"/>
      <c r="D47" s="188"/>
    </row>
    <row r="48" spans="2:135">
      <c r="B48" s="13" t="s">
        <v>618</v>
      </c>
      <c r="C48" s="111"/>
      <c r="D48" s="66" t="s">
        <v>10</v>
      </c>
    </row>
    <row r="49" spans="2:9">
      <c r="B49" s="179"/>
      <c r="C49" s="179"/>
      <c r="D49" s="179"/>
      <c r="E49" s="9"/>
      <c r="F49" s="9"/>
      <c r="G49" s="9"/>
      <c r="I49" s="26"/>
    </row>
    <row r="50" spans="2:9">
      <c r="B50" s="179"/>
      <c r="C50" s="179"/>
      <c r="D50" s="179"/>
      <c r="E50" s="9"/>
      <c r="F50" s="9"/>
      <c r="G50" s="9"/>
      <c r="I50" s="26"/>
    </row>
  </sheetData>
  <sheetProtection algorithmName="SHA-512" hashValue="rzVifvZoxayfMpU9vx7jenA8zw3ob8KGglXsygvXEYWG4DkHBBTyhdgCqOD7u0OBZE/QTbPvmKXg2Im6JwrpQA==" saltValue="IVZxSIBmqSRumths2j1++A==" spinCount="100000" sheet="1" formatCells="0" selectLockedCells="1"/>
  <mergeCells count="22">
    <mergeCell ref="L7:U26"/>
    <mergeCell ref="B49:D50"/>
    <mergeCell ref="E17:I17"/>
    <mergeCell ref="C19:D19"/>
    <mergeCell ref="B35:D35"/>
    <mergeCell ref="B29:D29"/>
    <mergeCell ref="B27:D27"/>
    <mergeCell ref="E21:I21"/>
    <mergeCell ref="B37:D37"/>
    <mergeCell ref="B39:D39"/>
    <mergeCell ref="B41:D41"/>
    <mergeCell ref="B45:D45"/>
    <mergeCell ref="B46:D46"/>
    <mergeCell ref="B47:D47"/>
    <mergeCell ref="B25:D25"/>
    <mergeCell ref="B26:D26"/>
    <mergeCell ref="B33:D33"/>
    <mergeCell ref="B31:D31"/>
    <mergeCell ref="C7:I7"/>
    <mergeCell ref="C8:I8"/>
    <mergeCell ref="E9:I9"/>
    <mergeCell ref="E20:I20"/>
  </mergeCells>
  <dataValidations count="1">
    <dataValidation type="list" allowBlank="1" showInputMessage="1" showErrorMessage="1" sqref="C19:D19" xr:uid="{E79C45AD-560B-460C-A2CE-0208F390D2A5}">
      <formula1>$AB$12:$AB$16</formula1>
    </dataValidation>
  </dataValidations>
  <pageMargins left="0.7" right="0.7" top="0.75" bottom="0.75" header="0.3" footer="0.3"/>
  <pageSetup scale="62" orientation="portrait" horizontalDpi="4294967293" verticalDpi="0" r:id="rId1"/>
  <headerFooter>
    <oddFooter>&amp;LRef: HEC-18, FHWA-HIF-12-003&amp;CHEC-18 Bridge Scour Calculations&amp;RPage &amp;P</oddFooter>
  </headerFooter>
  <drawing r:id="rId2"/>
  <legacyDrawing r:id="rId3"/>
  <oleObjects>
    <mc:AlternateContent xmlns:mc="http://schemas.openxmlformats.org/markup-compatibility/2006">
      <mc:Choice Requires="x14">
        <oleObject progId="Wordpad.Document.1" shapeId="13313" r:id="rId4">
          <objectPr defaultSize="0" r:id="rId5">
            <anchor moveWithCells="1">
              <from>
                <xdr:col>0</xdr:col>
                <xdr:colOff>0</xdr:colOff>
                <xdr:row>0</xdr:row>
                <xdr:rowOff>0</xdr:rowOff>
              </from>
              <to>
                <xdr:col>0</xdr:col>
                <xdr:colOff>9525</xdr:colOff>
                <xdr:row>0</xdr:row>
                <xdr:rowOff>9525</xdr:rowOff>
              </to>
            </anchor>
          </objectPr>
        </oleObject>
      </mc:Choice>
      <mc:Fallback>
        <oleObject progId="Wordpad.Document.1" shapeId="13313" r:id="rId4"/>
      </mc:Fallback>
    </mc:AlternateContent>
  </oleObjec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12775A2-B573-4141-810C-BCD891B9C072}">
  <sheetPr>
    <tabColor theme="5" tint="0.39997558519241921"/>
  </sheetPr>
  <dimension ref="A1:AR189"/>
  <sheetViews>
    <sheetView zoomScale="85" zoomScaleNormal="85" workbookViewId="0">
      <selection activeCell="H25" sqref="H25"/>
    </sheetView>
  </sheetViews>
  <sheetFormatPr defaultRowHeight="15"/>
  <cols>
    <col min="1" max="1" width="9.140625" style="9"/>
    <col min="2" max="2" width="10.140625" style="9" customWidth="1"/>
    <col min="3" max="3" width="11.42578125" style="9" customWidth="1"/>
    <col min="4" max="4" width="13.28515625" style="9" customWidth="1"/>
    <col min="5" max="18" width="9.140625" style="9"/>
    <col min="19" max="19" width="18.5703125" style="9" customWidth="1"/>
    <col min="20" max="38" width="9.140625" style="9"/>
    <col min="39" max="39" width="10.140625" style="9" customWidth="1"/>
    <col min="40" max="16384" width="9.140625" style="9"/>
  </cols>
  <sheetData>
    <row r="1" spans="1:26">
      <c r="A1" s="10" t="s">
        <v>517</v>
      </c>
    </row>
    <row r="2" spans="1:26" ht="15" customHeight="1">
      <c r="A2" s="129" t="s">
        <v>568</v>
      </c>
      <c r="B2" s="129"/>
      <c r="C2" s="129"/>
      <c r="D2" s="129"/>
      <c r="E2" s="129"/>
      <c r="F2" s="129"/>
      <c r="G2" s="129"/>
      <c r="H2" s="129"/>
      <c r="I2" s="129"/>
      <c r="J2" s="129"/>
      <c r="K2" s="129"/>
      <c r="L2" s="129"/>
    </row>
    <row r="3" spans="1:26" s="131" customFormat="1">
      <c r="A3" s="129" t="s">
        <v>515</v>
      </c>
    </row>
    <row r="4" spans="1:26" s="122" customFormat="1" ht="15" customHeight="1">
      <c r="A4" s="3" t="s">
        <v>516</v>
      </c>
      <c r="B4" s="3"/>
      <c r="C4" s="3"/>
      <c r="D4" s="3"/>
      <c r="E4" s="3"/>
      <c r="F4" s="3"/>
      <c r="G4" s="3"/>
      <c r="H4" s="3"/>
      <c r="I4" s="3"/>
      <c r="J4" s="3"/>
      <c r="K4" s="3"/>
      <c r="L4" s="3"/>
    </row>
    <row r="5" spans="1:26" s="146" customFormat="1"/>
    <row r="6" spans="1:26" s="146" customFormat="1"/>
    <row r="7" spans="1:26">
      <c r="A7" s="27"/>
      <c r="B7" s="27"/>
      <c r="C7" s="27"/>
      <c r="D7" s="27"/>
      <c r="E7" s="27"/>
      <c r="F7" s="27"/>
      <c r="G7" s="27"/>
      <c r="H7" s="27"/>
      <c r="I7" s="27"/>
      <c r="J7" s="27"/>
      <c r="K7" s="27"/>
      <c r="L7" s="27"/>
      <c r="M7" s="27"/>
      <c r="N7" s="27"/>
      <c r="O7" s="27"/>
      <c r="P7" s="27"/>
      <c r="Q7" s="27"/>
      <c r="R7" s="27"/>
      <c r="S7" s="27"/>
      <c r="T7" s="27"/>
      <c r="U7" s="27"/>
      <c r="V7" s="27"/>
      <c r="W7" s="27"/>
      <c r="X7" s="27"/>
      <c r="Y7" s="27"/>
      <c r="Z7" s="27"/>
    </row>
    <row r="8" spans="1:26" s="131" customFormat="1">
      <c r="A8" s="192" t="s">
        <v>615</v>
      </c>
      <c r="B8" s="193"/>
      <c r="C8" s="193"/>
      <c r="D8" s="193"/>
      <c r="E8" s="193"/>
      <c r="F8" s="193"/>
      <c r="G8" s="193"/>
      <c r="H8" s="193"/>
      <c r="I8" s="193"/>
      <c r="J8" s="193"/>
      <c r="K8" s="193"/>
      <c r="L8" s="193"/>
      <c r="M8" s="193"/>
      <c r="N8" s="193"/>
      <c r="O8" s="193"/>
      <c r="P8" s="193"/>
      <c r="Q8" s="193"/>
      <c r="R8" s="193"/>
      <c r="S8" s="193"/>
      <c r="T8" s="193"/>
      <c r="U8" s="193"/>
      <c r="V8" s="193"/>
      <c r="W8" s="193"/>
      <c r="X8" s="193"/>
      <c r="Y8" s="193"/>
      <c r="Z8" s="194"/>
    </row>
    <row r="9" spans="1:26" s="131" customFormat="1"/>
    <row r="10" spans="1:26" s="131" customFormat="1">
      <c r="B10" s="133" t="s">
        <v>253</v>
      </c>
      <c r="C10" s="131">
        <f>'General Scour'!C19</f>
        <v>0</v>
      </c>
      <c r="G10" s="132" t="s">
        <v>552</v>
      </c>
      <c r="R10" s="135"/>
      <c r="S10" s="135"/>
      <c r="T10" s="143"/>
    </row>
    <row r="11" spans="1:26" s="131" customFormat="1" ht="15" customHeight="1">
      <c r="T11" s="143"/>
    </row>
    <row r="12" spans="1:26" s="131" customFormat="1">
      <c r="B12" s="133" t="s">
        <v>554</v>
      </c>
      <c r="C12" s="134" t="e">
        <f>_xlfn.XLOOKUP($C$10,$P$13:$P$19,$Q$13:$Q$19)</f>
        <v>#N/A</v>
      </c>
      <c r="D12" s="131" t="s">
        <v>557</v>
      </c>
      <c r="Q12" s="131" t="s">
        <v>560</v>
      </c>
      <c r="R12" s="135" t="s">
        <v>561</v>
      </c>
      <c r="S12" s="135" t="s">
        <v>562</v>
      </c>
      <c r="T12" s="143"/>
    </row>
    <row r="13" spans="1:26" s="131" customFormat="1">
      <c r="B13" s="133" t="s">
        <v>555</v>
      </c>
      <c r="C13" s="134" t="e">
        <f>_xlfn.XLOOKUP($C$10,$P$13:$P$19,$R$13:$R$19)</f>
        <v>#N/A</v>
      </c>
      <c r="D13" s="131" t="s">
        <v>558</v>
      </c>
      <c r="P13" s="118" t="s">
        <v>506</v>
      </c>
      <c r="Q13" s="131">
        <v>0.5</v>
      </c>
      <c r="R13" s="136">
        <v>0.25</v>
      </c>
      <c r="S13" s="136">
        <v>0.6</v>
      </c>
      <c r="T13" s="136"/>
    </row>
    <row r="14" spans="1:26" s="131" customFormat="1">
      <c r="B14" s="133" t="s">
        <v>556</v>
      </c>
      <c r="C14" s="134" t="e">
        <f>_xlfn.XLOOKUP($C$10,$P$13:$P$19,$S$13:$S$19)</f>
        <v>#N/A</v>
      </c>
      <c r="D14" s="131" t="s">
        <v>559</v>
      </c>
      <c r="P14" s="118" t="s">
        <v>503</v>
      </c>
      <c r="Q14" s="131">
        <v>0.6</v>
      </c>
      <c r="R14" s="136">
        <v>0.5</v>
      </c>
      <c r="S14" s="136">
        <v>0.6</v>
      </c>
      <c r="T14" s="136"/>
    </row>
    <row r="15" spans="1:26" s="131" customFormat="1">
      <c r="P15" s="118" t="s">
        <v>505</v>
      </c>
      <c r="Q15" s="131">
        <v>0.7</v>
      </c>
      <c r="R15" s="136">
        <v>0.75</v>
      </c>
      <c r="S15" s="136">
        <v>0.6</v>
      </c>
    </row>
    <row r="16" spans="1:26" s="131" customFormat="1">
      <c r="P16" s="118" t="s">
        <v>504</v>
      </c>
      <c r="Q16" s="131">
        <v>1</v>
      </c>
      <c r="R16" s="144">
        <v>1</v>
      </c>
      <c r="S16" s="134">
        <v>1.25</v>
      </c>
    </row>
    <row r="17" spans="1:26" s="131" customFormat="1">
      <c r="P17" s="118" t="s">
        <v>501</v>
      </c>
      <c r="Q17" s="131">
        <v>1</v>
      </c>
      <c r="R17" s="145">
        <v>1.25</v>
      </c>
      <c r="S17" s="134">
        <v>1.25</v>
      </c>
    </row>
    <row r="18" spans="1:26" s="131" customFormat="1">
      <c r="S18" s="134"/>
    </row>
    <row r="19" spans="1:26" s="131" customFormat="1">
      <c r="B19" s="133"/>
      <c r="C19" s="134"/>
      <c r="P19" s="118" t="s">
        <v>502</v>
      </c>
      <c r="Q19" s="131">
        <v>1.5</v>
      </c>
      <c r="R19" s="144">
        <v>1.75</v>
      </c>
      <c r="S19" s="134">
        <v>1.75</v>
      </c>
    </row>
    <row r="20" spans="1:26" s="146" customFormat="1">
      <c r="B20" s="147"/>
      <c r="C20" s="148"/>
      <c r="D20" s="149"/>
    </row>
    <row r="21" spans="1:26" s="131" customFormat="1">
      <c r="B21" s="133"/>
      <c r="C21" s="29"/>
    </row>
    <row r="22" spans="1:26" s="131" customFormat="1">
      <c r="B22" s="133"/>
      <c r="C22" s="76"/>
    </row>
    <row r="23" spans="1:26" s="131" customFormat="1">
      <c r="C23" s="76"/>
    </row>
    <row r="24" spans="1:26" s="131" customFormat="1">
      <c r="B24" s="133"/>
      <c r="C24" s="76"/>
    </row>
    <row r="25" spans="1:26" s="131" customFormat="1">
      <c r="B25" s="133"/>
      <c r="C25" s="133"/>
      <c r="D25" s="122"/>
    </row>
    <row r="26" spans="1:26" s="131" customFormat="1">
      <c r="A26" s="27"/>
      <c r="B26" s="27"/>
      <c r="C26" s="27"/>
      <c r="D26" s="27"/>
      <c r="E26" s="27"/>
      <c r="F26" s="27"/>
      <c r="G26" s="27"/>
      <c r="H26" s="27"/>
      <c r="I26" s="27"/>
      <c r="J26" s="27"/>
      <c r="K26" s="27"/>
      <c r="L26" s="27"/>
      <c r="M26" s="27"/>
      <c r="N26" s="27"/>
      <c r="O26" s="27"/>
      <c r="P26" s="27"/>
      <c r="Q26" s="27"/>
      <c r="R26" s="27"/>
      <c r="S26" s="27"/>
      <c r="T26" s="27"/>
      <c r="U26" s="27"/>
      <c r="V26" s="27"/>
      <c r="W26" s="27"/>
      <c r="X26" s="27"/>
      <c r="Y26" s="27"/>
      <c r="Z26" s="27"/>
    </row>
    <row r="27" spans="1:26" s="131" customFormat="1">
      <c r="A27" s="192" t="s">
        <v>596</v>
      </c>
      <c r="B27" s="193"/>
      <c r="C27" s="193"/>
      <c r="D27" s="193"/>
      <c r="E27" s="193"/>
      <c r="F27" s="193"/>
      <c r="G27" s="193"/>
      <c r="H27" s="193"/>
      <c r="I27" s="193"/>
      <c r="J27" s="193"/>
      <c r="K27" s="193"/>
      <c r="L27" s="193"/>
      <c r="M27" s="193"/>
      <c r="N27" s="193"/>
      <c r="O27" s="193"/>
      <c r="P27" s="193"/>
      <c r="Q27" s="193"/>
      <c r="R27" s="193"/>
      <c r="S27" s="193"/>
      <c r="T27" s="193"/>
      <c r="U27" s="193"/>
      <c r="V27" s="193"/>
      <c r="W27" s="193"/>
      <c r="X27" s="193"/>
      <c r="Y27" s="193"/>
      <c r="Z27" s="194"/>
    </row>
    <row r="28" spans="1:26" s="131" customFormat="1"/>
    <row r="29" spans="1:26" s="131" customFormat="1">
      <c r="A29" s="132"/>
      <c r="R29" s="135"/>
      <c r="S29" s="135"/>
      <c r="T29" s="143"/>
      <c r="U29" s="135"/>
      <c r="V29" s="135"/>
    </row>
    <row r="30" spans="1:26" s="131" customFormat="1" ht="15" customHeight="1">
      <c r="B30" s="133" t="s">
        <v>579</v>
      </c>
      <c r="C30" s="134">
        <f>'General Scour'!C14</f>
        <v>0</v>
      </c>
      <c r="D30" s="131" t="s">
        <v>10</v>
      </c>
      <c r="E30" s="131" t="s">
        <v>580</v>
      </c>
      <c r="R30" s="135"/>
      <c r="S30" s="135"/>
      <c r="T30" s="143"/>
      <c r="U30" s="135"/>
      <c r="V30" s="135"/>
    </row>
    <row r="31" spans="1:26" s="131" customFormat="1">
      <c r="B31" s="133" t="s">
        <v>528</v>
      </c>
      <c r="C31" s="134">
        <f>'General Scour'!C12</f>
        <v>0</v>
      </c>
      <c r="D31" s="131" t="s">
        <v>10</v>
      </c>
      <c r="E31" s="131" t="s">
        <v>582</v>
      </c>
      <c r="R31" s="136"/>
      <c r="S31" s="136"/>
      <c r="T31" s="143"/>
      <c r="U31" s="135"/>
      <c r="V31" s="135"/>
    </row>
    <row r="32" spans="1:26" s="131" customFormat="1">
      <c r="B32" s="133" t="s">
        <v>567</v>
      </c>
      <c r="C32" s="134">
        <f>'General Scour'!C15</f>
        <v>0</v>
      </c>
      <c r="D32" s="131" t="s">
        <v>43</v>
      </c>
      <c r="E32" s="131" t="s">
        <v>581</v>
      </c>
      <c r="R32" s="136"/>
      <c r="S32" s="136"/>
      <c r="T32" s="136"/>
      <c r="U32" s="135"/>
      <c r="V32" s="135"/>
    </row>
    <row r="33" spans="1:26" s="131" customFormat="1">
      <c r="B33" s="133" t="s">
        <v>583</v>
      </c>
      <c r="C33" s="134">
        <f>'General Scour'!C16</f>
        <v>0</v>
      </c>
      <c r="D33" s="131" t="s">
        <v>63</v>
      </c>
      <c r="R33" s="136"/>
      <c r="S33" s="136"/>
      <c r="T33" s="136"/>
      <c r="U33" s="135"/>
      <c r="V33" s="135"/>
    </row>
    <row r="34" spans="1:26" s="131" customFormat="1">
      <c r="B34" s="133"/>
      <c r="C34" s="134"/>
      <c r="R34" s="135"/>
      <c r="S34" s="136"/>
      <c r="T34" s="135"/>
      <c r="U34" s="135"/>
      <c r="V34" s="135"/>
    </row>
    <row r="35" spans="1:26" s="131" customFormat="1">
      <c r="B35" s="133" t="s">
        <v>577</v>
      </c>
      <c r="C35" s="134" t="e">
        <f>C30*((0.0685*C32^0.8)/(C31^0.4*C33^0.3)-1)</f>
        <v>#DIV/0!</v>
      </c>
      <c r="D35" s="131" t="s">
        <v>10</v>
      </c>
      <c r="S35" s="134"/>
    </row>
    <row r="36" spans="1:26" s="131" customFormat="1">
      <c r="B36" s="133"/>
      <c r="C36" s="29"/>
      <c r="S36" s="134"/>
    </row>
    <row r="37" spans="1:26" s="131" customFormat="1">
      <c r="B37" s="133"/>
      <c r="C37" s="29"/>
      <c r="S37" s="134"/>
    </row>
    <row r="38" spans="1:26" s="131" customFormat="1">
      <c r="B38" s="133"/>
      <c r="C38" s="29"/>
    </row>
    <row r="39" spans="1:26" s="131" customFormat="1">
      <c r="B39" s="133"/>
      <c r="C39" s="29"/>
    </row>
    <row r="40" spans="1:26" s="131" customFormat="1">
      <c r="B40" s="133"/>
      <c r="C40" s="76"/>
    </row>
    <row r="41" spans="1:26" s="131" customFormat="1">
      <c r="C41" s="76"/>
    </row>
    <row r="42" spans="1:26" s="131" customFormat="1">
      <c r="B42" s="133"/>
      <c r="C42" s="76"/>
    </row>
    <row r="43" spans="1:26" s="131" customFormat="1"/>
    <row r="44" spans="1:26" s="131" customFormat="1">
      <c r="B44" s="133"/>
      <c r="C44" s="76"/>
    </row>
    <row r="45" spans="1:26" s="131" customFormat="1">
      <c r="B45" s="133"/>
      <c r="C45" s="133"/>
      <c r="D45" s="122"/>
    </row>
    <row r="46" spans="1:26" s="131" customFormat="1">
      <c r="A46" s="27"/>
      <c r="B46" s="27"/>
      <c r="C46" s="27"/>
      <c r="D46" s="27"/>
      <c r="E46" s="27"/>
      <c r="F46" s="27"/>
      <c r="G46" s="27"/>
      <c r="H46" s="27"/>
      <c r="I46" s="27"/>
      <c r="J46" s="27"/>
      <c r="K46" s="27"/>
      <c r="L46" s="27"/>
      <c r="M46" s="27"/>
      <c r="N46" s="27"/>
      <c r="O46" s="27"/>
      <c r="P46" s="27"/>
      <c r="Q46" s="27"/>
      <c r="R46" s="27"/>
      <c r="S46" s="27"/>
      <c r="T46" s="27"/>
      <c r="U46" s="27"/>
      <c r="V46" s="27"/>
      <c r="W46" s="27"/>
      <c r="X46" s="27"/>
      <c r="Y46" s="27"/>
      <c r="Z46" s="27"/>
    </row>
    <row r="47" spans="1:26">
      <c r="A47" s="192" t="s">
        <v>597</v>
      </c>
      <c r="B47" s="193"/>
      <c r="C47" s="193"/>
      <c r="D47" s="193"/>
      <c r="E47" s="193"/>
      <c r="F47" s="193"/>
      <c r="G47" s="193"/>
      <c r="H47" s="193"/>
      <c r="I47" s="193"/>
      <c r="J47" s="193"/>
      <c r="K47" s="193"/>
      <c r="L47" s="193"/>
      <c r="M47" s="193"/>
      <c r="N47" s="193"/>
      <c r="O47" s="193"/>
      <c r="P47" s="193"/>
      <c r="Q47" s="193"/>
      <c r="R47" s="193"/>
      <c r="S47" s="193"/>
      <c r="T47" s="193"/>
      <c r="U47" s="193"/>
      <c r="V47" s="193"/>
      <c r="W47" s="193"/>
      <c r="X47" s="193"/>
      <c r="Y47" s="193"/>
      <c r="Z47" s="194"/>
    </row>
    <row r="49" spans="1:20">
      <c r="A49" s="10"/>
      <c r="R49" s="130"/>
      <c r="S49" s="130"/>
      <c r="T49" s="195" t="s">
        <v>541</v>
      </c>
    </row>
    <row r="50" spans="1:20" ht="15" customHeight="1">
      <c r="B50" s="11" t="s">
        <v>531</v>
      </c>
      <c r="C50" s="94">
        <f>'General Scour'!C9</f>
        <v>0</v>
      </c>
      <c r="D50" s="9" t="s">
        <v>9</v>
      </c>
      <c r="R50" s="130"/>
      <c r="S50" s="130"/>
      <c r="T50" s="195"/>
    </row>
    <row r="51" spans="1:20">
      <c r="B51" s="11" t="s">
        <v>535</v>
      </c>
      <c r="C51" s="94">
        <f>'General Scour'!C10</f>
        <v>0</v>
      </c>
      <c r="D51" s="9" t="s">
        <v>9</v>
      </c>
      <c r="R51" s="123" t="s">
        <v>537</v>
      </c>
      <c r="S51" s="123" t="s">
        <v>540</v>
      </c>
      <c r="T51" s="196"/>
    </row>
    <row r="52" spans="1:20">
      <c r="B52" s="11" t="s">
        <v>528</v>
      </c>
      <c r="C52" s="94">
        <f>'General Scour'!C12</f>
        <v>0</v>
      </c>
      <c r="D52" s="9" t="s">
        <v>10</v>
      </c>
      <c r="R52" s="94">
        <v>0.67</v>
      </c>
      <c r="S52" s="94" t="s">
        <v>542</v>
      </c>
      <c r="T52" s="94">
        <v>0.16</v>
      </c>
    </row>
    <row r="53" spans="1:20">
      <c r="B53" s="11" t="s">
        <v>529</v>
      </c>
      <c r="C53" s="94">
        <f>'General Scour'!C13</f>
        <v>0</v>
      </c>
      <c r="D53" s="9" t="s">
        <v>10</v>
      </c>
      <c r="E53" s="9" t="s">
        <v>530</v>
      </c>
      <c r="R53" s="94">
        <v>0.85</v>
      </c>
      <c r="S53" s="94" t="s">
        <v>543</v>
      </c>
      <c r="T53" s="94">
        <v>23</v>
      </c>
    </row>
    <row r="54" spans="1:20">
      <c r="B54" s="11" t="s">
        <v>532</v>
      </c>
      <c r="C54" s="94">
        <f>'General Scour'!C11</f>
        <v>0</v>
      </c>
      <c r="D54" s="9" t="s">
        <v>10</v>
      </c>
      <c r="S54" s="94"/>
    </row>
    <row r="55" spans="1:20">
      <c r="B55" s="11" t="s">
        <v>533</v>
      </c>
      <c r="C55" s="94">
        <f>'General Scour'!C17</f>
        <v>0</v>
      </c>
      <c r="D55" s="9" t="s">
        <v>12</v>
      </c>
      <c r="S55" s="94"/>
    </row>
    <row r="56" spans="1:20">
      <c r="B56" s="11" t="s">
        <v>546</v>
      </c>
      <c r="C56" s="29" t="e">
        <f>C50/C54</f>
        <v>#DIV/0!</v>
      </c>
      <c r="D56" s="9" t="s">
        <v>534</v>
      </c>
      <c r="E56" s="9" t="s">
        <v>544</v>
      </c>
      <c r="S56" s="94"/>
    </row>
    <row r="57" spans="1:20">
      <c r="B57" s="133" t="s">
        <v>547</v>
      </c>
      <c r="C57" s="29" t="e">
        <f>C51/C54</f>
        <v>#DIV/0!</v>
      </c>
      <c r="D57" s="9" t="s">
        <v>534</v>
      </c>
      <c r="E57" s="9" t="s">
        <v>545</v>
      </c>
      <c r="S57" s="94"/>
    </row>
    <row r="58" spans="1:20">
      <c r="B58" s="11" t="s">
        <v>537</v>
      </c>
      <c r="C58" s="29" cm="1">
        <f t="array" ref="C58">TREND(R52:R53,T52:T53,C55)</f>
        <v>0.66873905429071812</v>
      </c>
    </row>
    <row r="59" spans="1:20" s="131" customFormat="1">
      <c r="B59" s="133"/>
      <c r="C59" s="29"/>
    </row>
    <row r="60" spans="1:20">
      <c r="B60" s="11" t="s">
        <v>538</v>
      </c>
      <c r="C60" s="76" t="e">
        <f>C53*(C56/C57)^(C58)</f>
        <v>#DIV/0!</v>
      </c>
      <c r="D60" s="9" t="s">
        <v>10</v>
      </c>
    </row>
    <row r="61" spans="1:20">
      <c r="C61" s="76"/>
    </row>
    <row r="62" spans="1:20">
      <c r="B62" s="11" t="s">
        <v>564</v>
      </c>
      <c r="C62" s="76" t="e">
        <f>C60*C12</f>
        <v>#DIV/0!</v>
      </c>
      <c r="D62" s="9" t="s">
        <v>10</v>
      </c>
    </row>
    <row r="64" spans="1:20" s="131" customFormat="1">
      <c r="B64" s="133"/>
      <c r="C64" s="76"/>
    </row>
    <row r="65" spans="1:26">
      <c r="B65" s="11"/>
      <c r="C65" s="11"/>
      <c r="D65" s="122"/>
    </row>
    <row r="66" spans="1:26">
      <c r="A66" s="27"/>
      <c r="B66" s="27"/>
      <c r="C66" s="27"/>
      <c r="D66" s="27"/>
      <c r="E66" s="27"/>
      <c r="F66" s="27"/>
      <c r="G66" s="27"/>
      <c r="H66" s="27"/>
      <c r="I66" s="27"/>
      <c r="J66" s="27"/>
      <c r="K66" s="27"/>
      <c r="L66" s="27"/>
      <c r="M66" s="27"/>
      <c r="N66" s="27"/>
      <c r="O66" s="27"/>
      <c r="P66" s="27"/>
      <c r="Q66" s="27"/>
      <c r="R66" s="27"/>
      <c r="S66" s="27"/>
      <c r="T66" s="27"/>
      <c r="U66" s="27"/>
      <c r="V66" s="27"/>
      <c r="W66" s="27"/>
      <c r="X66" s="27"/>
      <c r="Y66" s="27"/>
      <c r="Z66" s="27"/>
    </row>
    <row r="67" spans="1:26" s="131" customFormat="1">
      <c r="A67" s="192" t="s">
        <v>598</v>
      </c>
      <c r="B67" s="193"/>
      <c r="C67" s="193"/>
      <c r="D67" s="193"/>
      <c r="E67" s="193"/>
      <c r="F67" s="193"/>
      <c r="G67" s="193"/>
      <c r="H67" s="193"/>
      <c r="I67" s="193"/>
      <c r="J67" s="193"/>
      <c r="K67" s="193"/>
      <c r="L67" s="193"/>
      <c r="M67" s="193"/>
      <c r="N67" s="193"/>
      <c r="O67" s="193"/>
      <c r="P67" s="193"/>
      <c r="Q67" s="193"/>
      <c r="R67" s="193"/>
      <c r="S67" s="193"/>
      <c r="T67" s="193"/>
      <c r="U67" s="193"/>
      <c r="V67" s="193"/>
      <c r="W67" s="193"/>
      <c r="X67" s="193"/>
      <c r="Y67" s="193"/>
      <c r="Z67" s="194"/>
    </row>
    <row r="68" spans="1:26" s="131" customFormat="1"/>
    <row r="69" spans="1:26" s="131" customFormat="1">
      <c r="A69" s="132"/>
      <c r="R69" s="135"/>
      <c r="S69" s="135"/>
      <c r="T69" s="143"/>
      <c r="U69" s="135"/>
    </row>
    <row r="70" spans="1:26" s="131" customFormat="1" ht="15" customHeight="1">
      <c r="B70" s="133" t="s">
        <v>531</v>
      </c>
      <c r="C70" s="134">
        <f>'General Scour'!C9</f>
        <v>0</v>
      </c>
      <c r="D70" s="131" t="s">
        <v>9</v>
      </c>
      <c r="E70" s="131" t="s">
        <v>548</v>
      </c>
      <c r="R70" s="135"/>
      <c r="S70" s="135"/>
      <c r="T70" s="143"/>
      <c r="U70" s="135"/>
    </row>
    <row r="71" spans="1:26" s="131" customFormat="1">
      <c r="B71" s="133" t="s">
        <v>533</v>
      </c>
      <c r="C71" s="134">
        <f>'General Scour'!C17</f>
        <v>0</v>
      </c>
      <c r="D71" s="131" t="s">
        <v>12</v>
      </c>
      <c r="E71" s="131" t="s">
        <v>549</v>
      </c>
      <c r="R71" s="136"/>
      <c r="S71" s="136"/>
      <c r="T71" s="143"/>
      <c r="U71" s="135"/>
    </row>
    <row r="72" spans="1:26" s="131" customFormat="1">
      <c r="B72" s="133" t="s">
        <v>528</v>
      </c>
      <c r="C72" s="134">
        <f>'General Scour'!C12</f>
        <v>0</v>
      </c>
      <c r="D72" s="131" t="s">
        <v>10</v>
      </c>
      <c r="R72" s="136"/>
      <c r="S72" s="136"/>
      <c r="T72" s="136"/>
      <c r="U72" s="135"/>
    </row>
    <row r="73" spans="1:26" s="131" customFormat="1">
      <c r="B73" s="133" t="s">
        <v>550</v>
      </c>
      <c r="C73" s="131">
        <f>1.76*SQRT(C71)</f>
        <v>0</v>
      </c>
      <c r="R73" s="136"/>
      <c r="S73" s="136"/>
      <c r="T73" s="136"/>
      <c r="U73" s="135"/>
    </row>
    <row r="74" spans="1:26" s="131" customFormat="1">
      <c r="B74" s="133"/>
      <c r="C74" s="134"/>
      <c r="R74" s="135"/>
      <c r="S74" s="136"/>
      <c r="T74" s="135"/>
      <c r="U74" s="135"/>
    </row>
    <row r="75" spans="1:26" s="131" customFormat="1">
      <c r="B75" s="133" t="s">
        <v>551</v>
      </c>
      <c r="C75" s="76" t="e">
        <f>0.47*(C70/C71)^(1/3)</f>
        <v>#DIV/0!</v>
      </c>
      <c r="D75" s="131" t="s">
        <v>10</v>
      </c>
      <c r="S75" s="134"/>
    </row>
    <row r="76" spans="1:26" s="131" customFormat="1">
      <c r="S76" s="134"/>
    </row>
    <row r="77" spans="1:26" s="131" customFormat="1">
      <c r="B77" s="133" t="s">
        <v>564</v>
      </c>
      <c r="C77" s="76" t="e">
        <f>C75*C13</f>
        <v>#DIV/0!</v>
      </c>
      <c r="D77" s="131" t="s">
        <v>10</v>
      </c>
      <c r="S77" s="134"/>
    </row>
    <row r="78" spans="1:26" s="131" customFormat="1">
      <c r="B78" s="133"/>
      <c r="C78" s="29"/>
    </row>
    <row r="79" spans="1:26" s="131" customFormat="1">
      <c r="C79" s="29"/>
    </row>
    <row r="80" spans="1:26" s="131" customFormat="1">
      <c r="B80" s="133"/>
      <c r="C80" s="76"/>
    </row>
    <row r="81" spans="1:26" s="131" customFormat="1">
      <c r="C81" s="76"/>
    </row>
    <row r="82" spans="1:26" s="131" customFormat="1">
      <c r="B82" s="133"/>
      <c r="C82" s="76"/>
    </row>
    <row r="83" spans="1:26" s="131" customFormat="1">
      <c r="B83" s="133"/>
      <c r="C83" s="133"/>
      <c r="D83" s="122"/>
    </row>
    <row r="84" spans="1:26" s="131" customFormat="1">
      <c r="A84" s="192" t="s">
        <v>599</v>
      </c>
      <c r="B84" s="193"/>
      <c r="C84" s="193"/>
      <c r="D84" s="193"/>
      <c r="E84" s="193"/>
      <c r="F84" s="193"/>
      <c r="G84" s="193"/>
      <c r="H84" s="193"/>
      <c r="I84" s="193"/>
      <c r="J84" s="193"/>
      <c r="K84" s="193"/>
      <c r="L84" s="193"/>
      <c r="M84" s="193"/>
      <c r="N84" s="193"/>
      <c r="O84" s="193"/>
      <c r="P84" s="193"/>
      <c r="Q84" s="193"/>
      <c r="R84" s="193"/>
      <c r="S84" s="193"/>
      <c r="T84" s="193"/>
      <c r="U84" s="193"/>
      <c r="V84" s="193"/>
      <c r="W84" s="193"/>
      <c r="X84" s="193"/>
      <c r="Y84" s="193"/>
      <c r="Z84" s="194"/>
    </row>
    <row r="85" spans="1:26" s="131" customFormat="1"/>
    <row r="86" spans="1:26" s="131" customFormat="1">
      <c r="A86" s="132"/>
      <c r="R86" s="135"/>
      <c r="S86" s="135"/>
      <c r="T86" s="143"/>
      <c r="U86" s="135"/>
    </row>
    <row r="87" spans="1:26" s="131" customFormat="1" ht="15" customHeight="1">
      <c r="B87" s="133" t="s">
        <v>531</v>
      </c>
      <c r="C87" s="134">
        <f>'General Scour'!C9</f>
        <v>0</v>
      </c>
      <c r="D87" s="131" t="s">
        <v>9</v>
      </c>
      <c r="E87" s="131" t="s">
        <v>548</v>
      </c>
      <c r="R87" s="135"/>
      <c r="S87" s="135"/>
      <c r="T87" s="143"/>
      <c r="U87" s="135"/>
    </row>
    <row r="88" spans="1:26" s="131" customFormat="1">
      <c r="B88" s="133" t="s">
        <v>532</v>
      </c>
      <c r="C88" s="134">
        <f>'General Scour'!C11</f>
        <v>0</v>
      </c>
      <c r="D88" s="131" t="s">
        <v>10</v>
      </c>
      <c r="R88" s="136"/>
      <c r="S88" s="136"/>
      <c r="T88" s="143"/>
      <c r="U88" s="135"/>
    </row>
    <row r="89" spans="1:26" s="131" customFormat="1">
      <c r="B89" s="133" t="s">
        <v>533</v>
      </c>
      <c r="C89" s="134">
        <f>'General Scour'!C17</f>
        <v>0</v>
      </c>
      <c r="D89" s="131" t="s">
        <v>12</v>
      </c>
      <c r="R89" s="136"/>
      <c r="S89" s="136"/>
      <c r="T89" s="136"/>
      <c r="U89" s="135"/>
    </row>
    <row r="90" spans="1:26" s="131" customFormat="1">
      <c r="B90" s="133" t="s">
        <v>533</v>
      </c>
      <c r="C90" s="28" t="str">
        <f>IF(C89=0,"",C89*0.00328084)</f>
        <v/>
      </c>
      <c r="D90" s="131" t="s">
        <v>10</v>
      </c>
      <c r="R90" s="136"/>
      <c r="S90" s="136"/>
      <c r="T90" s="136"/>
      <c r="U90" s="135"/>
    </row>
    <row r="91" spans="1:26" s="131" customFormat="1">
      <c r="B91" s="133" t="s">
        <v>546</v>
      </c>
      <c r="C91" s="29" t="e">
        <f>C87/C88</f>
        <v>#DIV/0!</v>
      </c>
      <c r="D91" s="131" t="s">
        <v>534</v>
      </c>
      <c r="E91" s="131" t="s">
        <v>544</v>
      </c>
      <c r="R91" s="135"/>
      <c r="S91" s="136"/>
      <c r="T91" s="135"/>
      <c r="U91" s="135"/>
    </row>
    <row r="92" spans="1:26" s="131" customFormat="1">
      <c r="B92" s="133" t="s">
        <v>565</v>
      </c>
      <c r="C92" s="76" t="e">
        <f>IF(C90=0,"",IF(C90&gt;12.5,1.3698*LN(C90)+7.589,0.5672*LN(C90)+5.0302))</f>
        <v>#VALUE!</v>
      </c>
      <c r="S92" s="134"/>
    </row>
    <row r="93" spans="1:26" s="131" customFormat="1">
      <c r="B93" s="133"/>
      <c r="C93" s="134"/>
      <c r="S93" s="134"/>
    </row>
    <row r="94" spans="1:26" s="131" customFormat="1">
      <c r="B94" s="133" t="s">
        <v>566</v>
      </c>
      <c r="C94" s="76" t="e">
        <f>C91^(2/3)/C92^(1/3)</f>
        <v>#DIV/0!</v>
      </c>
      <c r="D94" s="131" t="s">
        <v>10</v>
      </c>
      <c r="S94" s="134"/>
    </row>
    <row r="95" spans="1:26" s="131" customFormat="1">
      <c r="C95" s="76"/>
    </row>
    <row r="96" spans="1:26" s="131" customFormat="1">
      <c r="B96" s="133" t="s">
        <v>564</v>
      </c>
      <c r="C96" s="76" t="e">
        <f>C94*C14</f>
        <v>#DIV/0!</v>
      </c>
      <c r="D96" s="131" t="s">
        <v>10</v>
      </c>
    </row>
    <row r="97" spans="1:44" s="131" customFormat="1"/>
    <row r="98" spans="1:44" s="131" customFormat="1"/>
    <row r="99" spans="1:44" s="131" customFormat="1"/>
    <row r="100" spans="1:44" s="131" customFormat="1"/>
    <row r="101" spans="1:44" s="131" customFormat="1"/>
    <row r="102" spans="1:44" s="131" customFormat="1"/>
    <row r="103" spans="1:44" s="131" customFormat="1">
      <c r="B103" s="133"/>
      <c r="C103" s="133"/>
      <c r="D103" s="122"/>
    </row>
    <row r="104" spans="1:44" s="131" customFormat="1">
      <c r="A104" s="192" t="s">
        <v>600</v>
      </c>
      <c r="B104" s="193"/>
      <c r="C104" s="193"/>
      <c r="D104" s="193"/>
      <c r="E104" s="193"/>
      <c r="F104" s="193"/>
      <c r="G104" s="193"/>
      <c r="H104" s="193"/>
      <c r="I104" s="193"/>
      <c r="J104" s="193"/>
      <c r="K104" s="193"/>
      <c r="L104" s="193"/>
      <c r="M104" s="193"/>
      <c r="N104" s="193"/>
      <c r="O104" s="193"/>
      <c r="P104" s="193"/>
      <c r="Q104" s="193"/>
      <c r="R104" s="193"/>
      <c r="S104" s="193"/>
      <c r="T104" s="193"/>
      <c r="U104" s="193"/>
      <c r="V104" s="193"/>
      <c r="W104" s="193"/>
      <c r="X104" s="193"/>
      <c r="Y104" s="193"/>
      <c r="Z104" s="194"/>
      <c r="AN104" s="3"/>
      <c r="AO104" s="3"/>
      <c r="AP104" s="3"/>
      <c r="AQ104" s="3"/>
      <c r="AR104" s="3"/>
    </row>
    <row r="105" spans="1:44" s="131" customFormat="1"/>
    <row r="106" spans="1:44" s="131" customFormat="1">
      <c r="A106" s="132"/>
      <c r="R106" s="135"/>
      <c r="S106" s="135"/>
      <c r="T106" s="143"/>
      <c r="U106" s="135"/>
    </row>
    <row r="107" spans="1:44" s="131" customFormat="1" ht="15" customHeight="1">
      <c r="B107" s="133" t="s">
        <v>528</v>
      </c>
      <c r="C107" s="134">
        <f>'General Scour'!C12</f>
        <v>0</v>
      </c>
      <c r="D107" s="131" t="s">
        <v>9</v>
      </c>
      <c r="E107" s="131" t="s">
        <v>573</v>
      </c>
      <c r="R107" s="135"/>
      <c r="S107" s="135"/>
      <c r="T107" s="143"/>
      <c r="U107" s="135"/>
      <c r="AM107" s="134"/>
    </row>
    <row r="108" spans="1:44" s="131" customFormat="1">
      <c r="B108" s="133" t="s">
        <v>567</v>
      </c>
      <c r="C108" s="134">
        <f>'General Scour'!C15</f>
        <v>0</v>
      </c>
      <c r="D108" s="131" t="s">
        <v>43</v>
      </c>
      <c r="E108" s="131" t="s">
        <v>572</v>
      </c>
      <c r="R108" s="136"/>
      <c r="S108" s="136"/>
      <c r="T108" s="143"/>
      <c r="U108" s="135"/>
      <c r="AM108" s="134"/>
    </row>
    <row r="109" spans="1:44" s="131" customFormat="1">
      <c r="B109" s="133" t="s">
        <v>570</v>
      </c>
      <c r="C109" s="134">
        <f>'General Scour'!C18</f>
        <v>0</v>
      </c>
      <c r="D109" s="131" t="s">
        <v>43</v>
      </c>
      <c r="R109" s="136"/>
      <c r="S109" s="136"/>
      <c r="T109" s="136"/>
      <c r="U109" s="135"/>
      <c r="AM109" s="134"/>
    </row>
    <row r="110" spans="1:44" s="131" customFormat="1">
      <c r="B110" s="133"/>
      <c r="C110" s="28"/>
      <c r="R110" s="136"/>
      <c r="S110" s="136"/>
      <c r="T110" s="136"/>
      <c r="U110" s="135"/>
      <c r="AM110" s="134"/>
    </row>
    <row r="111" spans="1:44" s="131" customFormat="1">
      <c r="B111" s="133" t="s">
        <v>539</v>
      </c>
      <c r="C111" s="134" t="e">
        <f>C107*(C108/C109-1)</f>
        <v>#DIV/0!</v>
      </c>
      <c r="D111" s="131" t="s">
        <v>10</v>
      </c>
      <c r="R111" s="135"/>
      <c r="S111" s="136"/>
      <c r="T111" s="135"/>
      <c r="U111" s="135"/>
      <c r="AM111" s="134"/>
    </row>
    <row r="112" spans="1:44" s="131" customFormat="1">
      <c r="B112" s="133"/>
      <c r="C112" s="76"/>
      <c r="S112" s="134"/>
      <c r="AM112" s="134"/>
    </row>
    <row r="113" spans="1:39" s="131" customFormat="1">
      <c r="S113" s="134"/>
      <c r="AM113" s="134"/>
    </row>
    <row r="114" spans="1:39" s="131" customFormat="1">
      <c r="B114" s="133"/>
      <c r="C114" s="76"/>
      <c r="S114" s="134"/>
      <c r="AM114" s="134"/>
    </row>
    <row r="115" spans="1:39" s="131" customFormat="1">
      <c r="B115" s="133"/>
      <c r="C115" s="29"/>
      <c r="AM115" s="134"/>
    </row>
    <row r="116" spans="1:39" s="131" customFormat="1">
      <c r="C116" s="29"/>
      <c r="AM116" s="134"/>
    </row>
    <row r="117" spans="1:39" s="131" customFormat="1">
      <c r="B117" s="133"/>
      <c r="C117" s="76"/>
      <c r="AM117" s="134"/>
    </row>
    <row r="118" spans="1:39" s="131" customFormat="1">
      <c r="C118" s="76"/>
      <c r="AM118" s="134"/>
    </row>
    <row r="119" spans="1:39" s="131" customFormat="1">
      <c r="B119" s="133"/>
      <c r="C119" s="76"/>
      <c r="AM119" s="134"/>
    </row>
    <row r="120" spans="1:39" s="131" customFormat="1">
      <c r="B120" s="133"/>
      <c r="C120" s="133"/>
      <c r="D120" s="122"/>
    </row>
    <row r="121" spans="1:39">
      <c r="A121" s="192" t="s">
        <v>601</v>
      </c>
      <c r="B121" s="193"/>
      <c r="C121" s="193"/>
      <c r="D121" s="193"/>
      <c r="E121" s="193"/>
      <c r="F121" s="193"/>
      <c r="G121" s="193"/>
      <c r="H121" s="193"/>
      <c r="I121" s="193"/>
      <c r="J121" s="193"/>
      <c r="K121" s="193"/>
      <c r="L121" s="193"/>
      <c r="M121" s="193"/>
      <c r="N121" s="193"/>
      <c r="O121" s="193"/>
      <c r="P121" s="193"/>
      <c r="Q121" s="193"/>
      <c r="R121" s="193"/>
      <c r="S121" s="193"/>
      <c r="T121" s="193"/>
      <c r="U121" s="193"/>
      <c r="V121" s="193"/>
      <c r="W121" s="193"/>
      <c r="X121" s="193"/>
      <c r="Y121" s="193"/>
      <c r="Z121" s="194"/>
    </row>
    <row r="123" spans="1:39">
      <c r="B123" s="133" t="s">
        <v>531</v>
      </c>
      <c r="C123" s="134">
        <f>'General Scour'!C9</f>
        <v>0</v>
      </c>
      <c r="D123" s="131" t="s">
        <v>9</v>
      </c>
    </row>
    <row r="124" spans="1:39">
      <c r="B124" s="133" t="s">
        <v>532</v>
      </c>
      <c r="C124" s="134">
        <f>'General Scour'!C11</f>
        <v>0</v>
      </c>
      <c r="D124" s="131" t="s">
        <v>10</v>
      </c>
    </row>
    <row r="125" spans="1:39">
      <c r="B125" s="11" t="s">
        <v>576</v>
      </c>
      <c r="C125" s="76" t="e">
        <f>C123/C124</f>
        <v>#DIV/0!</v>
      </c>
      <c r="D125" s="9" t="s">
        <v>534</v>
      </c>
    </row>
    <row r="126" spans="1:39">
      <c r="B126" s="11"/>
      <c r="C126" s="94"/>
    </row>
    <row r="127" spans="1:39">
      <c r="B127" s="11" t="s">
        <v>577</v>
      </c>
      <c r="C127" s="76" t="e">
        <f>IF(C125&lt;3.45,0.937*(C125/3.45)+2.47,2.45*C125^0.24)</f>
        <v>#DIV/0!</v>
      </c>
      <c r="D127" s="9" t="s">
        <v>10</v>
      </c>
    </row>
    <row r="128" spans="1:39">
      <c r="B128" s="11"/>
      <c r="C128" s="94"/>
    </row>
    <row r="129" spans="1:26">
      <c r="B129" s="11"/>
      <c r="C129" s="94"/>
    </row>
    <row r="130" spans="1:26">
      <c r="B130" s="11"/>
      <c r="C130" s="94"/>
    </row>
    <row r="131" spans="1:26">
      <c r="B131" s="11"/>
      <c r="C131" s="94"/>
    </row>
    <row r="132" spans="1:26">
      <c r="B132" s="11"/>
      <c r="C132" s="94"/>
    </row>
    <row r="133" spans="1:26">
      <c r="B133" s="11"/>
      <c r="C133" s="94"/>
    </row>
    <row r="134" spans="1:26">
      <c r="B134" s="11"/>
      <c r="C134" s="94"/>
    </row>
    <row r="136" spans="1:26">
      <c r="B136" s="11"/>
      <c r="C136" s="29"/>
    </row>
    <row r="137" spans="1:26">
      <c r="B137" s="11"/>
      <c r="C137" s="29"/>
    </row>
    <row r="138" spans="1:26">
      <c r="B138" s="11"/>
      <c r="C138" s="29"/>
    </row>
    <row r="139" spans="1:26">
      <c r="A139" s="27"/>
      <c r="B139" s="27"/>
      <c r="C139" s="27"/>
      <c r="D139" s="27"/>
      <c r="E139" s="27"/>
      <c r="F139" s="27"/>
      <c r="G139" s="27"/>
      <c r="H139" s="27"/>
      <c r="I139" s="27"/>
      <c r="J139" s="27"/>
      <c r="K139" s="27"/>
      <c r="L139" s="27"/>
      <c r="M139" s="27"/>
      <c r="N139" s="27"/>
      <c r="O139" s="27"/>
      <c r="P139" s="27"/>
      <c r="Q139" s="27"/>
      <c r="R139" s="27"/>
      <c r="S139" s="27"/>
      <c r="T139" s="27"/>
      <c r="U139" s="27"/>
      <c r="V139" s="27"/>
      <c r="W139" s="27"/>
      <c r="X139" s="27"/>
      <c r="Y139" s="27"/>
      <c r="Z139" s="27"/>
    </row>
    <row r="140" spans="1:26" s="131" customFormat="1">
      <c r="A140" s="192" t="s">
        <v>602</v>
      </c>
      <c r="B140" s="193"/>
      <c r="C140" s="193"/>
      <c r="D140" s="193"/>
      <c r="E140" s="193"/>
      <c r="F140" s="193"/>
      <c r="G140" s="193"/>
      <c r="H140" s="193"/>
      <c r="I140" s="193"/>
      <c r="J140" s="193"/>
      <c r="K140" s="193"/>
      <c r="L140" s="193"/>
      <c r="M140" s="193"/>
      <c r="N140" s="193"/>
      <c r="O140" s="193"/>
      <c r="P140" s="193"/>
      <c r="Q140" s="193"/>
      <c r="R140" s="193"/>
      <c r="S140" s="193"/>
      <c r="T140" s="193"/>
      <c r="U140" s="193"/>
      <c r="V140" s="193"/>
      <c r="W140" s="193"/>
      <c r="X140" s="193"/>
      <c r="Y140" s="193"/>
      <c r="Z140" s="194"/>
    </row>
    <row r="141" spans="1:26" s="131" customFormat="1">
      <c r="G141" s="131" t="s">
        <v>613</v>
      </c>
    </row>
    <row r="142" spans="1:26" s="131" customFormat="1">
      <c r="B142" s="133" t="s">
        <v>589</v>
      </c>
      <c r="C142" s="134">
        <f>'General Scour'!C21</f>
        <v>0</v>
      </c>
      <c r="D142" s="131" t="s">
        <v>10</v>
      </c>
      <c r="E142" s="131" t="s">
        <v>582</v>
      </c>
    </row>
    <row r="143" spans="1:26" s="131" customFormat="1">
      <c r="B143" s="133" t="s">
        <v>592</v>
      </c>
      <c r="C143" s="134">
        <f>'General Scour'!C20</f>
        <v>0</v>
      </c>
      <c r="D143" s="131" t="s">
        <v>10</v>
      </c>
    </row>
    <row r="144" spans="1:26" s="131" customFormat="1">
      <c r="B144" s="133" t="s">
        <v>532</v>
      </c>
      <c r="C144" s="76">
        <f>'General Scour'!C11</f>
        <v>0</v>
      </c>
      <c r="D144" s="131" t="s">
        <v>10</v>
      </c>
    </row>
    <row r="145" spans="1:26" s="131" customFormat="1">
      <c r="B145" s="133" t="s">
        <v>590</v>
      </c>
      <c r="C145" s="76" t="e">
        <f>C143/C144</f>
        <v>#DIV/0!</v>
      </c>
    </row>
    <row r="146" spans="1:26" s="131" customFormat="1">
      <c r="B146" s="133" t="s">
        <v>593</v>
      </c>
      <c r="C146" s="76" t="e">
        <f>C144/C142</f>
        <v>#DIV/0!</v>
      </c>
    </row>
    <row r="147" spans="1:26" s="131" customFormat="1">
      <c r="B147" s="133" t="s">
        <v>591</v>
      </c>
      <c r="C147" s="76" t="e">
        <f>IF(C145&lt;1.5,1.5,IF(C145&gt;10,"NA",C145))</f>
        <v>#DIV/0!</v>
      </c>
    </row>
    <row r="148" spans="1:26" s="131" customFormat="1">
      <c r="B148" s="133" t="s">
        <v>594</v>
      </c>
      <c r="C148" s="76" t="e">
        <f>IF(C146&lt;20,20,IF(C146&gt;125,"NA",C146))</f>
        <v>#DIV/0!</v>
      </c>
    </row>
    <row r="149" spans="1:26" s="131" customFormat="1">
      <c r="B149" s="133"/>
      <c r="C149" s="134"/>
    </row>
    <row r="150" spans="1:26" s="131" customFormat="1">
      <c r="B150" s="133" t="s">
        <v>595</v>
      </c>
      <c r="C150" s="76" t="e">
        <f>IF(OR(C147="NA",C148="NA"),"NA",C142*(1.8-0.051*C147+0.0084*C148)-C142)</f>
        <v>#DIV/0!</v>
      </c>
      <c r="D150" s="131" t="s">
        <v>10</v>
      </c>
    </row>
    <row r="151" spans="1:26" s="131" customFormat="1">
      <c r="B151" s="133"/>
      <c r="C151" s="134"/>
    </row>
    <row r="152" spans="1:26" s="131" customFormat="1">
      <c r="B152" s="133"/>
      <c r="C152" s="134"/>
    </row>
    <row r="153" spans="1:26" s="131" customFormat="1">
      <c r="C153" s="134"/>
    </row>
    <row r="154" spans="1:26" s="131" customFormat="1"/>
    <row r="155" spans="1:26" s="131" customFormat="1">
      <c r="B155" s="133"/>
      <c r="C155" s="29"/>
    </row>
    <row r="156" spans="1:26" s="131" customFormat="1">
      <c r="B156" s="133"/>
      <c r="C156" s="29"/>
    </row>
    <row r="157" spans="1:26" s="131" customFormat="1">
      <c r="B157" s="133"/>
      <c r="C157" s="29"/>
    </row>
    <row r="158" spans="1:26" s="131" customFormat="1">
      <c r="A158" s="27"/>
      <c r="B158" s="27"/>
      <c r="C158" s="27"/>
      <c r="D158" s="27"/>
      <c r="E158" s="27"/>
      <c r="F158" s="27"/>
      <c r="G158" s="27"/>
      <c r="H158" s="27"/>
      <c r="I158" s="27"/>
      <c r="J158" s="27"/>
      <c r="K158" s="27"/>
      <c r="L158" s="27"/>
      <c r="M158" s="27"/>
      <c r="N158" s="27"/>
      <c r="O158" s="27"/>
      <c r="P158" s="27"/>
      <c r="Q158" s="27"/>
      <c r="R158" s="27"/>
      <c r="S158" s="27"/>
      <c r="T158" s="27"/>
      <c r="U158" s="27"/>
      <c r="V158" s="27"/>
      <c r="W158" s="27"/>
      <c r="X158" s="27"/>
      <c r="Y158" s="27"/>
      <c r="Z158" s="27"/>
    </row>
    <row r="159" spans="1:26" s="131" customFormat="1">
      <c r="A159" s="192" t="s">
        <v>603</v>
      </c>
      <c r="B159" s="193"/>
      <c r="C159" s="193"/>
      <c r="D159" s="193"/>
      <c r="E159" s="193"/>
      <c r="F159" s="193"/>
      <c r="G159" s="193"/>
      <c r="H159" s="193"/>
      <c r="I159" s="193"/>
      <c r="J159" s="193"/>
      <c r="K159" s="193"/>
      <c r="L159" s="193"/>
      <c r="M159" s="193"/>
      <c r="N159" s="193"/>
      <c r="O159" s="193"/>
      <c r="P159" s="193"/>
      <c r="Q159" s="193"/>
      <c r="R159" s="193"/>
      <c r="S159" s="193"/>
      <c r="T159" s="193"/>
      <c r="U159" s="193"/>
      <c r="V159" s="193"/>
      <c r="W159" s="193"/>
      <c r="X159" s="193"/>
      <c r="Y159" s="193"/>
      <c r="Z159" s="194"/>
    </row>
    <row r="160" spans="1:26" s="131" customFormat="1">
      <c r="G160" s="131" t="s">
        <v>612</v>
      </c>
    </row>
    <row r="161" spans="2:5" s="131" customFormat="1">
      <c r="B161" s="133" t="s">
        <v>589</v>
      </c>
      <c r="C161" s="134">
        <f>'General Scour'!C21</f>
        <v>0</v>
      </c>
      <c r="D161" s="131" t="s">
        <v>10</v>
      </c>
      <c r="E161" s="131" t="s">
        <v>582</v>
      </c>
    </row>
    <row r="162" spans="2:5" s="131" customFormat="1">
      <c r="B162" s="133" t="s">
        <v>592</v>
      </c>
      <c r="C162" s="134">
        <f>'General Scour'!C20</f>
        <v>0</v>
      </c>
      <c r="D162" s="131" t="s">
        <v>10</v>
      </c>
    </row>
    <row r="163" spans="2:5" s="131" customFormat="1">
      <c r="B163" s="133" t="s">
        <v>532</v>
      </c>
      <c r="C163" s="76">
        <f>'General Scour'!C11</f>
        <v>0</v>
      </c>
      <c r="D163" s="131" t="s">
        <v>10</v>
      </c>
    </row>
    <row r="164" spans="2:5" s="131" customFormat="1">
      <c r="B164" s="133" t="s">
        <v>590</v>
      </c>
      <c r="C164" s="76" t="e">
        <f>C162/C163</f>
        <v>#DIV/0!</v>
      </c>
    </row>
    <row r="165" spans="2:5" s="131" customFormat="1">
      <c r="B165" s="133"/>
      <c r="C165" s="76"/>
    </row>
    <row r="166" spans="2:5" s="131" customFormat="1">
      <c r="B166" s="133" t="s">
        <v>595</v>
      </c>
      <c r="C166" s="76" t="e">
        <f>IF(C164&lt;2,"NA",C161*(2.07-0.19*LOG(C164-2))-C161)</f>
        <v>#DIV/0!</v>
      </c>
      <c r="D166" s="131" t="s">
        <v>10</v>
      </c>
    </row>
    <row r="167" spans="2:5" s="131" customFormat="1">
      <c r="B167" s="133"/>
      <c r="C167" s="76"/>
    </row>
    <row r="168" spans="2:5" s="131" customFormat="1">
      <c r="B168" s="133"/>
      <c r="C168" s="134"/>
    </row>
    <row r="169" spans="2:5" s="131" customFormat="1"/>
    <row r="170" spans="2:5" s="131" customFormat="1">
      <c r="B170" s="133"/>
      <c r="C170" s="134"/>
    </row>
    <row r="171" spans="2:5" s="131" customFormat="1">
      <c r="B171" s="133"/>
      <c r="C171" s="134"/>
    </row>
    <row r="172" spans="2:5" s="131" customFormat="1">
      <c r="B172" s="133"/>
      <c r="C172" s="134"/>
    </row>
    <row r="173" spans="2:5" s="131" customFormat="1"/>
    <row r="174" spans="2:5" s="131" customFormat="1">
      <c r="B174" s="133"/>
      <c r="C174" s="29"/>
    </row>
    <row r="175" spans="2:5" s="131" customFormat="1">
      <c r="B175" s="133"/>
      <c r="C175" s="29"/>
    </row>
    <row r="176" spans="2:5" s="131" customFormat="1">
      <c r="B176" s="133"/>
      <c r="C176" s="29"/>
    </row>
    <row r="177" spans="1:26" s="131" customFormat="1">
      <c r="A177" s="27"/>
      <c r="B177" s="27"/>
      <c r="C177" s="27"/>
      <c r="D177" s="27"/>
      <c r="E177" s="27"/>
      <c r="F177" s="27"/>
      <c r="G177" s="27"/>
      <c r="H177" s="27"/>
      <c r="I177" s="27"/>
      <c r="J177" s="27"/>
      <c r="K177" s="27"/>
      <c r="L177" s="27"/>
      <c r="M177" s="27"/>
      <c r="N177" s="27"/>
      <c r="O177" s="27"/>
      <c r="P177" s="27"/>
      <c r="Q177" s="27"/>
      <c r="R177" s="27"/>
      <c r="S177" s="27"/>
      <c r="T177" s="27"/>
      <c r="U177" s="27"/>
      <c r="V177" s="27"/>
      <c r="W177" s="27"/>
      <c r="X177" s="27"/>
      <c r="Y177" s="27"/>
      <c r="Z177" s="27"/>
    </row>
    <row r="178" spans="1:26" s="131" customFormat="1">
      <c r="A178" s="27"/>
      <c r="B178" s="27"/>
      <c r="C178" s="27"/>
      <c r="D178" s="27"/>
      <c r="E178" s="27"/>
      <c r="F178" s="27"/>
      <c r="G178" s="27"/>
      <c r="H178" s="27"/>
      <c r="I178" s="27"/>
      <c r="J178" s="27"/>
      <c r="K178" s="27"/>
      <c r="L178" s="27"/>
      <c r="M178" s="27"/>
      <c r="N178" s="27"/>
      <c r="O178" s="27"/>
      <c r="P178" s="27"/>
      <c r="Q178" s="27"/>
      <c r="R178" s="27"/>
      <c r="S178" s="27"/>
      <c r="T178" s="27"/>
      <c r="U178" s="27"/>
      <c r="V178" s="27"/>
      <c r="W178" s="27"/>
      <c r="X178" s="27"/>
      <c r="Y178" s="27"/>
      <c r="Z178" s="27"/>
    </row>
    <row r="180" spans="1:26" s="131" customFormat="1">
      <c r="A180" s="192" t="s">
        <v>609</v>
      </c>
      <c r="B180" s="193"/>
      <c r="C180" s="193"/>
      <c r="D180" s="193"/>
      <c r="E180" s="193"/>
      <c r="F180" s="193"/>
      <c r="G180" s="193"/>
      <c r="H180" s="193"/>
      <c r="I180" s="193"/>
      <c r="J180" s="193"/>
      <c r="K180" s="193"/>
      <c r="L180" s="193"/>
      <c r="M180" s="193"/>
      <c r="N180" s="193"/>
      <c r="O180" s="193"/>
      <c r="P180" s="193"/>
      <c r="Q180" s="193"/>
      <c r="R180" s="193"/>
      <c r="S180" s="193"/>
      <c r="T180" s="193"/>
      <c r="U180" s="193"/>
      <c r="V180" s="193"/>
      <c r="W180" s="193"/>
      <c r="X180" s="193"/>
      <c r="Y180" s="193"/>
      <c r="Z180" s="194"/>
    </row>
    <row r="181" spans="1:26">
      <c r="B181" s="11"/>
    </row>
    <row r="182" spans="1:26">
      <c r="B182" s="11" t="s">
        <v>586</v>
      </c>
      <c r="C182" s="29" t="str">
        <f>IFERROR(C35,"")</f>
        <v/>
      </c>
    </row>
    <row r="183" spans="1:26">
      <c r="B183" s="11" t="s">
        <v>560</v>
      </c>
      <c r="C183" s="29" t="str">
        <f>IFERROR(C62,"")</f>
        <v/>
      </c>
    </row>
    <row r="184" spans="1:26">
      <c r="B184" s="11" t="s">
        <v>561</v>
      </c>
      <c r="C184" s="29" t="str">
        <f>IFERROR(C77,"")</f>
        <v/>
      </c>
    </row>
    <row r="185" spans="1:26">
      <c r="B185" s="133" t="s">
        <v>562</v>
      </c>
      <c r="C185" s="29" t="str">
        <f>IFERROR(C96,"")</f>
        <v/>
      </c>
    </row>
    <row r="186" spans="1:26">
      <c r="A186" s="63"/>
      <c r="B186" s="63" t="s">
        <v>610</v>
      </c>
      <c r="C186" s="29" t="str">
        <f>IFERROR(C111,"")</f>
        <v/>
      </c>
      <c r="D186" s="63"/>
      <c r="E186" s="63"/>
      <c r="F186" s="63"/>
      <c r="G186" s="63"/>
      <c r="H186" s="63"/>
      <c r="I186" s="63"/>
      <c r="J186" s="63"/>
      <c r="K186" s="63"/>
      <c r="L186" s="63"/>
      <c r="M186" s="63"/>
      <c r="N186" s="63"/>
      <c r="O186" s="63"/>
      <c r="P186" s="63"/>
    </row>
    <row r="187" spans="1:26">
      <c r="A187" s="63"/>
      <c r="B187" s="133" t="s">
        <v>611</v>
      </c>
      <c r="C187" s="29" t="str">
        <f>IFERROR(C127,"")</f>
        <v/>
      </c>
      <c r="D187" s="63"/>
      <c r="E187" s="63"/>
      <c r="F187" s="63"/>
      <c r="G187" s="63"/>
      <c r="H187" s="63"/>
      <c r="I187" s="63"/>
      <c r="J187" s="63"/>
      <c r="K187" s="63"/>
      <c r="L187" s="63"/>
      <c r="M187" s="63"/>
      <c r="N187" s="63"/>
      <c r="O187" s="63"/>
      <c r="P187" s="63"/>
    </row>
    <row r="188" spans="1:26">
      <c r="B188" s="133" t="s">
        <v>508</v>
      </c>
      <c r="C188" s="29" t="str">
        <f>IFERROR(C150,"")</f>
        <v/>
      </c>
    </row>
    <row r="189" spans="1:26">
      <c r="B189" s="133" t="s">
        <v>507</v>
      </c>
      <c r="C189" s="29" t="str">
        <f>IFERROR(C166,"")</f>
        <v/>
      </c>
    </row>
  </sheetData>
  <sheetProtection algorithmName="SHA-512" hashValue="FqVe7ToUukDCWuHPCuOGNzEJGfzESL36kjBjVsxaH6Ej12GwnrFYsf0boIxwEiWHLDiy+1e+rk9hcH3Sj/R+1w==" saltValue="r0W/W1QzD1zRbJm0UbN2VQ==" spinCount="100000" sheet="1" objects="1" scenarios="1"/>
  <mergeCells count="11">
    <mergeCell ref="A140:Z140"/>
    <mergeCell ref="A159:Z159"/>
    <mergeCell ref="A180:Z180"/>
    <mergeCell ref="A67:Z67"/>
    <mergeCell ref="A8:Z8"/>
    <mergeCell ref="A104:Z104"/>
    <mergeCell ref="A27:Z27"/>
    <mergeCell ref="A47:Z47"/>
    <mergeCell ref="A84:Z84"/>
    <mergeCell ref="A121:Z121"/>
    <mergeCell ref="T49:T51"/>
  </mergeCells>
  <pageMargins left="0.7" right="0.7" top="0.75" bottom="0.75" header="0.3" footer="0.3"/>
  <pageSetup orientation="portrait" horizontalDpi="4294967293" verticalDpi="0" r:id="rId1"/>
  <drawing r:id="rId2"/>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4FE72DF-5E21-49F8-8780-392A47E7F996}">
  <sheetPr>
    <tabColor theme="9"/>
  </sheetPr>
  <dimension ref="A1:EF93"/>
  <sheetViews>
    <sheetView showGridLines="0" topLeftCell="A55" zoomScale="115" zoomScaleNormal="115" zoomScalePageLayoutView="55" workbookViewId="0">
      <selection activeCell="C52" sqref="C52"/>
    </sheetView>
  </sheetViews>
  <sheetFormatPr defaultRowHeight="15"/>
  <cols>
    <col min="1" max="1" width="3.7109375" style="9" customWidth="1"/>
    <col min="2" max="2" width="34.85546875" style="1" customWidth="1"/>
    <col min="3" max="3" width="13" style="1" customWidth="1"/>
    <col min="4" max="7" width="9.140625" style="1"/>
    <col min="9" max="9" width="30.140625" customWidth="1"/>
    <col min="10" max="10" width="13.7109375" customWidth="1"/>
    <col min="11" max="11" width="3.7109375" style="9" customWidth="1"/>
    <col min="12" max="12" width="4.85546875" customWidth="1"/>
    <col min="13" max="13" width="17.85546875" style="26" customWidth="1"/>
    <col min="14" max="37" width="9.140625" style="26"/>
    <col min="38" max="71" width="9.140625" style="100"/>
    <col min="72" max="136" width="9.140625" style="26"/>
  </cols>
  <sheetData>
    <row r="1" spans="2:136" s="9" customFormat="1" ht="21">
      <c r="B1" s="99" t="s">
        <v>183</v>
      </c>
      <c r="C1" s="12"/>
      <c r="D1" s="12"/>
      <c r="E1" s="12"/>
      <c r="F1" s="12"/>
      <c r="G1" s="12"/>
      <c r="M1" s="26"/>
      <c r="N1" s="26"/>
      <c r="O1" s="26"/>
      <c r="P1" s="26"/>
      <c r="Q1" s="26"/>
      <c r="R1" s="26"/>
      <c r="S1" s="26"/>
      <c r="T1" s="26"/>
      <c r="U1" s="26"/>
      <c r="V1" s="26"/>
      <c r="W1" s="26"/>
      <c r="X1" s="26"/>
      <c r="Y1" s="26"/>
      <c r="Z1" s="26"/>
      <c r="AA1" s="26"/>
      <c r="AB1" s="26"/>
      <c r="AC1" s="26"/>
      <c r="AD1" s="26"/>
      <c r="AE1" s="26"/>
      <c r="AF1" s="26"/>
      <c r="AG1" s="26"/>
      <c r="AH1" s="26"/>
      <c r="AI1" s="26"/>
      <c r="AJ1" s="26"/>
      <c r="AK1" s="26"/>
      <c r="AL1" s="100"/>
      <c r="AM1" s="100"/>
      <c r="AN1" s="100"/>
      <c r="AO1" s="100"/>
      <c r="AP1" s="100"/>
      <c r="AQ1" s="100"/>
      <c r="AR1" s="100"/>
      <c r="AS1" s="100"/>
      <c r="AT1" s="100"/>
      <c r="AU1" s="100"/>
      <c r="AV1" s="100"/>
      <c r="AW1" s="100"/>
      <c r="AX1" s="100"/>
      <c r="AY1" s="100"/>
      <c r="AZ1" s="100"/>
      <c r="BA1" s="100"/>
      <c r="BB1" s="100"/>
      <c r="BC1" s="100"/>
      <c r="BD1" s="100"/>
      <c r="BE1" s="100"/>
      <c r="BF1" s="100"/>
      <c r="BG1" s="100"/>
      <c r="BH1" s="100"/>
      <c r="BI1" s="100"/>
      <c r="BJ1" s="100"/>
      <c r="BK1" s="100"/>
      <c r="BL1" s="100"/>
      <c r="BM1" s="100"/>
      <c r="BN1" s="100"/>
      <c r="BO1" s="100"/>
      <c r="BP1" s="100"/>
      <c r="BQ1" s="100"/>
      <c r="BR1" s="100"/>
      <c r="BS1" s="100"/>
      <c r="BT1" s="26"/>
      <c r="BU1" s="26"/>
      <c r="BV1" s="26"/>
      <c r="BW1" s="26"/>
      <c r="BX1" s="26"/>
      <c r="BY1" s="26"/>
      <c r="BZ1" s="26"/>
      <c r="CA1" s="26"/>
      <c r="CB1" s="26"/>
      <c r="CC1" s="26"/>
      <c r="CD1" s="26"/>
      <c r="CE1" s="26"/>
      <c r="CF1" s="26"/>
      <c r="CG1" s="26"/>
      <c r="CH1" s="26"/>
      <c r="CI1" s="26"/>
      <c r="CJ1" s="26"/>
      <c r="CK1" s="26"/>
      <c r="CL1" s="26"/>
      <c r="CM1" s="26"/>
      <c r="CN1" s="26"/>
      <c r="CO1" s="26"/>
      <c r="CP1" s="26"/>
      <c r="CQ1" s="26"/>
      <c r="CR1" s="26"/>
      <c r="CS1" s="26"/>
      <c r="CT1" s="26"/>
      <c r="CU1" s="26"/>
      <c r="CV1" s="26"/>
      <c r="CW1" s="26"/>
      <c r="CX1" s="26"/>
      <c r="CY1" s="26"/>
      <c r="CZ1" s="26"/>
      <c r="DA1" s="26"/>
      <c r="DB1" s="26"/>
      <c r="DC1" s="26"/>
      <c r="DD1" s="26"/>
      <c r="DE1" s="26"/>
      <c r="DF1" s="26"/>
      <c r="DG1" s="26"/>
      <c r="DH1" s="26"/>
      <c r="DI1" s="26"/>
      <c r="DJ1" s="26"/>
      <c r="DK1" s="26"/>
      <c r="DL1" s="26"/>
      <c r="DM1" s="26"/>
      <c r="DN1" s="26"/>
      <c r="DO1" s="26"/>
      <c r="DP1" s="26"/>
      <c r="DQ1" s="26"/>
      <c r="DR1" s="26"/>
      <c r="DS1" s="26"/>
      <c r="DT1" s="26"/>
      <c r="DU1" s="26"/>
      <c r="DV1" s="26"/>
      <c r="DW1" s="26"/>
      <c r="DX1" s="26"/>
      <c r="DY1" s="26"/>
      <c r="DZ1" s="26"/>
      <c r="EA1" s="26"/>
      <c r="EB1" s="26"/>
      <c r="EC1" s="26"/>
      <c r="ED1" s="26"/>
      <c r="EE1" s="26"/>
      <c r="EF1" s="26"/>
    </row>
    <row r="2" spans="2:136" s="9" customFormat="1">
      <c r="B2" s="48" t="s">
        <v>182</v>
      </c>
      <c r="C2" s="12"/>
      <c r="D2" s="12"/>
      <c r="E2" s="12"/>
      <c r="F2" s="12"/>
      <c r="G2" s="12"/>
      <c r="M2" s="26"/>
      <c r="N2" s="26"/>
      <c r="O2" s="26"/>
      <c r="P2" s="26"/>
      <c r="Q2" s="26"/>
      <c r="R2" s="26"/>
      <c r="S2" s="26"/>
      <c r="T2" s="26"/>
      <c r="U2" s="26"/>
      <c r="V2" s="26"/>
      <c r="W2" s="26"/>
      <c r="X2" s="26"/>
      <c r="Y2" s="26"/>
      <c r="Z2" s="26"/>
      <c r="AA2" s="26"/>
      <c r="AB2" s="26"/>
      <c r="AC2" s="26"/>
      <c r="AD2" s="26"/>
      <c r="AE2" s="26"/>
      <c r="AF2" s="26"/>
      <c r="AG2" s="26"/>
      <c r="AH2" s="26"/>
      <c r="AI2" s="26"/>
      <c r="AJ2" s="26"/>
      <c r="AK2" s="26"/>
      <c r="AL2" s="100"/>
      <c r="AM2" s="100"/>
      <c r="AN2" s="100"/>
      <c r="AO2" s="100"/>
      <c r="AP2" s="100"/>
      <c r="AQ2" s="100"/>
      <c r="AR2" s="100"/>
      <c r="AS2" s="100"/>
      <c r="AT2" s="100"/>
      <c r="AU2" s="100"/>
      <c r="AV2" s="100"/>
      <c r="AW2" s="100"/>
      <c r="AX2" s="100"/>
      <c r="AY2" s="100"/>
      <c r="AZ2" s="100"/>
      <c r="BA2" s="100"/>
      <c r="BB2" s="100"/>
      <c r="BC2" s="100"/>
      <c r="BD2" s="100"/>
      <c r="BE2" s="100"/>
      <c r="BF2" s="100"/>
      <c r="BG2" s="100"/>
      <c r="BH2" s="100"/>
      <c r="BI2" s="100"/>
      <c r="BJ2" s="100"/>
      <c r="BK2" s="100"/>
      <c r="BL2" s="100"/>
      <c r="BM2" s="100"/>
      <c r="BN2" s="100"/>
      <c r="BO2" s="100"/>
      <c r="BP2" s="100"/>
      <c r="BQ2" s="100"/>
      <c r="BR2" s="100"/>
      <c r="BS2" s="100"/>
      <c r="BT2" s="26"/>
      <c r="BU2" s="26"/>
      <c r="BV2" s="26"/>
      <c r="BW2" s="26"/>
      <c r="BX2" s="26"/>
      <c r="BY2" s="26"/>
      <c r="BZ2" s="26"/>
      <c r="CA2" s="26"/>
      <c r="CB2" s="26"/>
      <c r="CC2" s="26"/>
      <c r="CD2" s="26"/>
      <c r="CE2" s="26"/>
      <c r="CF2" s="26"/>
      <c r="CG2" s="26"/>
      <c r="CH2" s="26"/>
      <c r="CI2" s="26"/>
      <c r="CJ2" s="26"/>
      <c r="CK2" s="26"/>
      <c r="CL2" s="26"/>
      <c r="CM2" s="26"/>
      <c r="CN2" s="26"/>
      <c r="CO2" s="26"/>
      <c r="CP2" s="26"/>
      <c r="CQ2" s="26"/>
      <c r="CR2" s="26"/>
      <c r="CS2" s="26"/>
      <c r="CT2" s="26"/>
      <c r="CU2" s="26"/>
      <c r="CV2" s="26"/>
      <c r="CW2" s="26"/>
      <c r="CX2" s="26"/>
      <c r="CY2" s="26"/>
      <c r="CZ2" s="26"/>
      <c r="DA2" s="26"/>
      <c r="DB2" s="26"/>
      <c r="DC2" s="26"/>
      <c r="DD2" s="26"/>
      <c r="DE2" s="26"/>
      <c r="DF2" s="26"/>
      <c r="DG2" s="26"/>
      <c r="DH2" s="26"/>
      <c r="DI2" s="26"/>
      <c r="DJ2" s="26"/>
      <c r="DK2" s="26"/>
      <c r="DL2" s="26"/>
      <c r="DM2" s="26"/>
      <c r="DN2" s="26"/>
      <c r="DO2" s="26"/>
      <c r="DP2" s="26"/>
      <c r="DQ2" s="26"/>
      <c r="DR2" s="26"/>
      <c r="DS2" s="26"/>
      <c r="DT2" s="26"/>
      <c r="DU2" s="26"/>
      <c r="DV2" s="26"/>
      <c r="DW2" s="26"/>
      <c r="DX2" s="26"/>
      <c r="DY2" s="26"/>
      <c r="DZ2" s="26"/>
      <c r="EA2" s="26"/>
      <c r="EB2" s="26"/>
      <c r="EC2" s="26"/>
      <c r="ED2" s="26"/>
      <c r="EE2" s="26"/>
      <c r="EF2" s="26"/>
    </row>
    <row r="3" spans="2:136" s="9" customFormat="1">
      <c r="B3" s="48" t="s">
        <v>471</v>
      </c>
      <c r="C3" s="12"/>
      <c r="D3" s="12"/>
      <c r="E3" s="12"/>
      <c r="F3" s="12"/>
      <c r="G3" s="12"/>
      <c r="M3" s="26"/>
      <c r="N3" s="26"/>
      <c r="O3" s="26"/>
      <c r="P3" s="26"/>
      <c r="Q3" s="26"/>
      <c r="R3" s="26"/>
      <c r="S3" s="26"/>
      <c r="T3" s="26"/>
      <c r="U3" s="26"/>
      <c r="V3" s="26"/>
      <c r="W3" s="26"/>
      <c r="X3" s="26"/>
      <c r="Y3" s="26"/>
      <c r="Z3" s="26"/>
      <c r="AA3" s="26"/>
      <c r="AB3" s="26"/>
      <c r="AC3" s="26"/>
      <c r="AD3" s="26"/>
      <c r="AE3" s="26"/>
      <c r="AF3" s="26"/>
      <c r="AG3" s="26"/>
      <c r="AH3" s="26"/>
      <c r="AI3" s="26"/>
      <c r="AJ3" s="26"/>
      <c r="AK3" s="26"/>
      <c r="AL3" s="100"/>
      <c r="AM3" s="100"/>
      <c r="AN3" s="100"/>
      <c r="AO3" s="100"/>
      <c r="AP3" s="100"/>
      <c r="AQ3" s="100"/>
      <c r="AR3" s="100"/>
      <c r="AS3" s="100"/>
      <c r="AT3" s="100"/>
      <c r="AU3" s="100"/>
      <c r="AV3" s="100"/>
      <c r="AW3" s="100"/>
      <c r="AX3" s="100"/>
      <c r="AY3" s="100"/>
      <c r="AZ3" s="100"/>
      <c r="BA3" s="100"/>
      <c r="BB3" s="100"/>
      <c r="BC3" s="100"/>
      <c r="BD3" s="100"/>
      <c r="BE3" s="100"/>
      <c r="BF3" s="100"/>
      <c r="BG3" s="100"/>
      <c r="BH3" s="100"/>
      <c r="BI3" s="100"/>
      <c r="BJ3" s="100"/>
      <c r="BK3" s="100"/>
      <c r="BL3" s="100"/>
      <c r="BM3" s="100"/>
      <c r="BN3" s="100"/>
      <c r="BO3" s="100"/>
      <c r="BP3" s="100"/>
      <c r="BQ3" s="100"/>
      <c r="BR3" s="100"/>
      <c r="BS3" s="100"/>
      <c r="BT3" s="26"/>
      <c r="BU3" s="26"/>
      <c r="BV3" s="26"/>
      <c r="BW3" s="26"/>
      <c r="BX3" s="26"/>
      <c r="BY3" s="26"/>
      <c r="BZ3" s="26"/>
      <c r="CA3" s="26"/>
      <c r="CB3" s="26"/>
      <c r="CC3" s="26"/>
      <c r="CD3" s="26"/>
      <c r="CE3" s="26"/>
      <c r="CF3" s="26"/>
      <c r="CG3" s="26"/>
      <c r="CH3" s="26"/>
      <c r="CI3" s="26"/>
      <c r="CJ3" s="26"/>
      <c r="CK3" s="26"/>
      <c r="CL3" s="26"/>
      <c r="CM3" s="26"/>
      <c r="CN3" s="26"/>
      <c r="CO3" s="26"/>
      <c r="CP3" s="26"/>
      <c r="CQ3" s="26"/>
      <c r="CR3" s="26"/>
      <c r="CS3" s="26"/>
      <c r="CT3" s="26"/>
      <c r="CU3" s="26"/>
      <c r="CV3" s="26"/>
      <c r="CW3" s="26"/>
      <c r="CX3" s="26"/>
      <c r="CY3" s="26"/>
      <c r="CZ3" s="26"/>
      <c r="DA3" s="26"/>
      <c r="DB3" s="26"/>
      <c r="DC3" s="26"/>
      <c r="DD3" s="26"/>
      <c r="DE3" s="26"/>
      <c r="DF3" s="26"/>
      <c r="DG3" s="26"/>
      <c r="DH3" s="26"/>
      <c r="DI3" s="26"/>
      <c r="DJ3" s="26"/>
      <c r="DK3" s="26"/>
      <c r="DL3" s="26"/>
      <c r="DM3" s="26"/>
      <c r="DN3" s="26"/>
      <c r="DO3" s="26"/>
      <c r="DP3" s="26"/>
      <c r="DQ3" s="26"/>
      <c r="DR3" s="26"/>
      <c r="DS3" s="26"/>
      <c r="DT3" s="26"/>
      <c r="DU3" s="26"/>
      <c r="DV3" s="26"/>
      <c r="DW3" s="26"/>
      <c r="DX3" s="26"/>
      <c r="DY3" s="26"/>
      <c r="DZ3" s="26"/>
      <c r="EA3" s="26"/>
      <c r="EB3" s="26"/>
      <c r="EC3" s="26"/>
      <c r="ED3" s="26"/>
      <c r="EE3" s="26"/>
      <c r="EF3" s="26"/>
    </row>
    <row r="4" spans="2:136" s="9" customFormat="1">
      <c r="B4" s="48" t="s">
        <v>470</v>
      </c>
      <c r="C4" s="12"/>
      <c r="D4" s="12"/>
      <c r="E4" s="12"/>
      <c r="F4" s="12"/>
      <c r="G4" s="12"/>
      <c r="M4" s="26"/>
      <c r="N4" s="26"/>
      <c r="O4" s="26"/>
      <c r="P4" s="26"/>
      <c r="Q4" s="26"/>
      <c r="R4" s="26"/>
      <c r="S4" s="26"/>
      <c r="T4" s="26"/>
      <c r="U4" s="26"/>
      <c r="V4" s="26"/>
      <c r="W4" s="26"/>
      <c r="X4" s="26"/>
      <c r="Y4" s="26"/>
      <c r="Z4" s="26"/>
      <c r="AA4" s="26"/>
      <c r="AB4" s="26"/>
      <c r="AC4" s="26"/>
      <c r="AD4" s="26"/>
      <c r="AE4" s="26"/>
      <c r="AF4" s="26"/>
      <c r="AG4" s="26"/>
      <c r="AH4" s="26"/>
      <c r="AI4" s="26"/>
      <c r="AJ4" s="26"/>
      <c r="AK4" s="26"/>
      <c r="AL4" s="100"/>
      <c r="AM4" s="100"/>
      <c r="AN4" s="100"/>
      <c r="AO4" s="100"/>
      <c r="AP4" s="100"/>
      <c r="AQ4" s="100"/>
      <c r="AR4" s="100"/>
      <c r="AS4" s="100"/>
      <c r="AT4" s="100"/>
      <c r="AU4" s="100"/>
      <c r="AV4" s="100"/>
      <c r="AW4" s="100"/>
      <c r="AX4" s="100"/>
      <c r="AY4" s="100"/>
      <c r="AZ4" s="100"/>
      <c r="BA4" s="100"/>
      <c r="BB4" s="100"/>
      <c r="BC4" s="100"/>
      <c r="BD4" s="100"/>
      <c r="BE4" s="100"/>
      <c r="BF4" s="100"/>
      <c r="BG4" s="100"/>
      <c r="BH4" s="100"/>
      <c r="BI4" s="100"/>
      <c r="BJ4" s="100"/>
      <c r="BK4" s="100"/>
      <c r="BL4" s="100"/>
      <c r="BM4" s="100"/>
      <c r="BN4" s="100"/>
      <c r="BO4" s="100"/>
      <c r="BP4" s="100"/>
      <c r="BQ4" s="100"/>
      <c r="BR4" s="100"/>
      <c r="BS4" s="100"/>
      <c r="BT4" s="26"/>
      <c r="BU4" s="26"/>
      <c r="BV4" s="26"/>
      <c r="BW4" s="26"/>
      <c r="BX4" s="26"/>
      <c r="BY4" s="26"/>
      <c r="BZ4" s="26"/>
      <c r="CA4" s="26"/>
      <c r="CB4" s="26"/>
      <c r="CC4" s="26"/>
      <c r="CD4" s="26"/>
      <c r="CE4" s="26"/>
      <c r="CF4" s="26"/>
      <c r="CG4" s="26"/>
      <c r="CH4" s="26"/>
      <c r="CI4" s="26"/>
      <c r="CJ4" s="26"/>
      <c r="CK4" s="26"/>
      <c r="CL4" s="26"/>
      <c r="CM4" s="26"/>
      <c r="CN4" s="26"/>
      <c r="CO4" s="26"/>
      <c r="CP4" s="26"/>
      <c r="CQ4" s="26"/>
      <c r="CR4" s="26"/>
      <c r="CS4" s="26"/>
      <c r="CT4" s="26"/>
      <c r="CU4" s="26"/>
      <c r="CV4" s="26"/>
      <c r="CW4" s="26"/>
      <c r="CX4" s="26"/>
      <c r="CY4" s="26"/>
      <c r="CZ4" s="26"/>
      <c r="DA4" s="26"/>
      <c r="DB4" s="26"/>
      <c r="DC4" s="26"/>
      <c r="DD4" s="26"/>
      <c r="DE4" s="26"/>
      <c r="DF4" s="26"/>
      <c r="DG4" s="26"/>
      <c r="DH4" s="26"/>
      <c r="DI4" s="26"/>
      <c r="DJ4" s="26"/>
      <c r="DK4" s="26"/>
      <c r="DL4" s="26"/>
      <c r="DM4" s="26"/>
      <c r="DN4" s="26"/>
      <c r="DO4" s="26"/>
      <c r="DP4" s="26"/>
      <c r="DQ4" s="26"/>
      <c r="DR4" s="26"/>
      <c r="DS4" s="26"/>
      <c r="DT4" s="26"/>
      <c r="DU4" s="26"/>
      <c r="DV4" s="26"/>
      <c r="DW4" s="26"/>
      <c r="DX4" s="26"/>
      <c r="DY4" s="26"/>
      <c r="DZ4" s="26"/>
      <c r="EA4" s="26"/>
      <c r="EB4" s="26"/>
      <c r="EC4" s="26"/>
      <c r="ED4" s="26"/>
      <c r="EE4" s="26"/>
      <c r="EF4" s="26"/>
    </row>
    <row r="5" spans="2:136" s="9" customFormat="1">
      <c r="B5" s="12"/>
      <c r="C5" s="12"/>
      <c r="D5" s="12"/>
      <c r="E5" s="12"/>
      <c r="F5" s="12"/>
      <c r="G5" s="12"/>
      <c r="M5" s="26"/>
      <c r="N5" s="26"/>
      <c r="O5" s="26"/>
      <c r="P5" s="26"/>
      <c r="Q5" s="26"/>
      <c r="R5" s="26"/>
      <c r="S5" s="26"/>
      <c r="T5" s="26"/>
      <c r="U5" s="26"/>
      <c r="V5" s="26"/>
      <c r="W5" s="26"/>
      <c r="X5" s="26"/>
      <c r="Y5" s="26"/>
      <c r="Z5" s="26"/>
      <c r="AA5" s="26"/>
      <c r="AB5" s="26"/>
      <c r="AC5" s="26"/>
      <c r="AD5" s="26"/>
      <c r="AE5" s="26"/>
      <c r="AF5" s="26"/>
      <c r="AG5" s="26"/>
      <c r="AH5" s="26"/>
      <c r="AI5" s="26"/>
      <c r="AJ5" s="26"/>
      <c r="AK5" s="26"/>
      <c r="AL5" s="100"/>
      <c r="AM5" s="100"/>
      <c r="AN5" s="100"/>
      <c r="AO5" s="100"/>
      <c r="AP5" s="100"/>
      <c r="AQ5" s="100"/>
      <c r="AR5" s="100"/>
      <c r="AS5" s="100"/>
      <c r="AT5" s="100"/>
      <c r="AU5" s="100"/>
      <c r="AV5" s="100"/>
      <c r="AW5" s="100"/>
      <c r="AX5" s="100"/>
      <c r="AY5" s="100"/>
      <c r="AZ5" s="100"/>
      <c r="BA5" s="100"/>
      <c r="BB5" s="100"/>
      <c r="BC5" s="100"/>
      <c r="BD5" s="100"/>
      <c r="BE5" s="100"/>
      <c r="BF5" s="100"/>
      <c r="BG5" s="100"/>
      <c r="BH5" s="100"/>
      <c r="BI5" s="100"/>
      <c r="BJ5" s="100"/>
      <c r="BK5" s="100"/>
      <c r="BL5" s="100"/>
      <c r="BM5" s="100"/>
      <c r="BN5" s="100"/>
      <c r="BO5" s="100"/>
      <c r="BP5" s="100"/>
      <c r="BQ5" s="100"/>
      <c r="BR5" s="100"/>
      <c r="BS5" s="100"/>
      <c r="BT5" s="26"/>
      <c r="BU5" s="26"/>
      <c r="BV5" s="26"/>
      <c r="BW5" s="26"/>
      <c r="BX5" s="26"/>
      <c r="BY5" s="26"/>
      <c r="BZ5" s="26"/>
      <c r="CA5" s="26"/>
      <c r="CB5" s="26"/>
      <c r="CC5" s="26"/>
      <c r="CD5" s="26"/>
      <c r="CE5" s="26"/>
      <c r="CF5" s="26"/>
      <c r="CG5" s="26"/>
      <c r="CH5" s="26"/>
      <c r="CI5" s="26"/>
      <c r="CJ5" s="26"/>
      <c r="CK5" s="26"/>
      <c r="CL5" s="26"/>
      <c r="CM5" s="26"/>
      <c r="CN5" s="26"/>
      <c r="CO5" s="26"/>
      <c r="CP5" s="26"/>
      <c r="CQ5" s="26"/>
      <c r="CR5" s="26"/>
      <c r="CS5" s="26"/>
      <c r="CT5" s="26"/>
      <c r="CU5" s="26"/>
      <c r="CV5" s="26"/>
      <c r="CW5" s="26"/>
      <c r="CX5" s="26"/>
      <c r="CY5" s="26"/>
      <c r="CZ5" s="26"/>
      <c r="DA5" s="26"/>
      <c r="DB5" s="26"/>
      <c r="DC5" s="26"/>
      <c r="DD5" s="26"/>
      <c r="DE5" s="26"/>
      <c r="DF5" s="26"/>
      <c r="DG5" s="26"/>
      <c r="DH5" s="26"/>
      <c r="DI5" s="26"/>
      <c r="DJ5" s="26"/>
      <c r="DK5" s="26"/>
      <c r="DL5" s="26"/>
      <c r="DM5" s="26"/>
      <c r="DN5" s="26"/>
      <c r="DO5" s="26"/>
      <c r="DP5" s="26"/>
      <c r="DQ5" s="26"/>
      <c r="DR5" s="26"/>
      <c r="DS5" s="26"/>
      <c r="DT5" s="26"/>
      <c r="DU5" s="26"/>
      <c r="DV5" s="26"/>
      <c r="DW5" s="26"/>
      <c r="DX5" s="26"/>
      <c r="DY5" s="26"/>
      <c r="DZ5" s="26"/>
      <c r="EA5" s="26"/>
      <c r="EB5" s="26"/>
      <c r="EC5" s="26"/>
      <c r="ED5" s="26"/>
      <c r="EE5" s="26"/>
      <c r="EF5" s="26"/>
    </row>
    <row r="6" spans="2:136">
      <c r="B6" s="10" t="s">
        <v>329</v>
      </c>
      <c r="C6" s="9"/>
      <c r="D6" s="9"/>
      <c r="E6" s="9"/>
      <c r="F6" s="9"/>
      <c r="G6" s="9"/>
      <c r="H6" s="9"/>
      <c r="I6" s="9"/>
    </row>
    <row r="7" spans="2:136">
      <c r="B7" s="14" t="s">
        <v>7</v>
      </c>
      <c r="C7" s="170" t="s">
        <v>626</v>
      </c>
      <c r="D7" s="170"/>
      <c r="E7" s="170"/>
      <c r="F7" s="170"/>
      <c r="G7" s="170"/>
      <c r="H7" s="170"/>
      <c r="I7" s="170"/>
      <c r="J7" s="197" t="s">
        <v>251</v>
      </c>
    </row>
    <row r="8" spans="2:136" ht="15.75" thickBot="1">
      <c r="B8" s="41" t="s">
        <v>8</v>
      </c>
      <c r="C8" s="171" t="s">
        <v>627</v>
      </c>
      <c r="D8" s="171"/>
      <c r="E8" s="171"/>
      <c r="F8" s="171"/>
      <c r="G8" s="171"/>
      <c r="H8" s="171"/>
      <c r="I8" s="171"/>
      <c r="J8" s="198"/>
    </row>
    <row r="9" spans="2:136">
      <c r="B9" s="37" t="s">
        <v>37</v>
      </c>
      <c r="C9" s="108">
        <v>7140</v>
      </c>
      <c r="D9" s="17" t="s">
        <v>9</v>
      </c>
      <c r="E9" s="172" t="s">
        <v>38</v>
      </c>
      <c r="F9" s="173"/>
      <c r="G9" s="173"/>
      <c r="H9" s="173"/>
      <c r="I9" s="174"/>
      <c r="J9" s="200" t="s">
        <v>72</v>
      </c>
    </row>
    <row r="10" spans="2:136" s="9" customFormat="1">
      <c r="B10" s="14" t="s">
        <v>67</v>
      </c>
      <c r="C10" s="108">
        <v>9153</v>
      </c>
      <c r="D10" s="15" t="s">
        <v>9</v>
      </c>
      <c r="E10" s="18" t="s">
        <v>68</v>
      </c>
      <c r="F10" s="19"/>
      <c r="G10" s="19"/>
      <c r="H10" s="19"/>
      <c r="I10" s="20"/>
      <c r="J10" s="201"/>
      <c r="M10" s="26"/>
      <c r="N10" s="26"/>
      <c r="O10" s="26"/>
      <c r="P10" s="26"/>
      <c r="Q10" s="26"/>
      <c r="R10" s="26"/>
      <c r="S10" s="26"/>
      <c r="T10" s="26"/>
      <c r="U10" s="26"/>
      <c r="V10" s="26"/>
      <c r="W10" s="26"/>
      <c r="X10" s="26"/>
      <c r="Y10" s="26"/>
      <c r="Z10" s="26"/>
      <c r="AA10" s="26"/>
      <c r="AB10" s="26"/>
      <c r="AC10" s="26"/>
      <c r="AD10" s="26"/>
      <c r="AE10" s="26"/>
      <c r="AF10" s="26"/>
      <c r="AG10" s="26"/>
      <c r="AH10" s="26"/>
      <c r="AI10" s="26"/>
      <c r="AJ10" s="26"/>
      <c r="AK10" s="26"/>
      <c r="AL10" s="100"/>
      <c r="AM10" s="100"/>
      <c r="AN10" s="100"/>
      <c r="AO10" s="100"/>
      <c r="AP10" s="100"/>
      <c r="AQ10" s="100"/>
      <c r="AR10" s="100"/>
      <c r="AS10" s="100"/>
      <c r="AT10" s="100"/>
      <c r="AU10" s="100"/>
      <c r="AV10" s="100"/>
      <c r="AW10" s="100"/>
      <c r="AX10" s="100"/>
      <c r="AY10" s="100"/>
      <c r="AZ10" s="100"/>
      <c r="BA10" s="100"/>
      <c r="BB10" s="100"/>
      <c r="BC10" s="100"/>
      <c r="BD10" s="100"/>
      <c r="BE10" s="100"/>
      <c r="BF10" s="100"/>
      <c r="BG10" s="100"/>
      <c r="BH10" s="100"/>
      <c r="BI10" s="100"/>
      <c r="BJ10" s="100"/>
      <c r="BK10" s="100"/>
      <c r="BL10" s="100"/>
      <c r="BM10" s="100"/>
      <c r="BN10" s="100"/>
      <c r="BO10" s="100"/>
      <c r="BP10" s="100"/>
      <c r="BQ10" s="100"/>
      <c r="BR10" s="100"/>
      <c r="BS10" s="100"/>
      <c r="BT10" s="26"/>
      <c r="BU10" s="26"/>
      <c r="BV10" s="26"/>
      <c r="BW10" s="26"/>
      <c r="BX10" s="26"/>
      <c r="BY10" s="26"/>
      <c r="BZ10" s="26"/>
      <c r="CA10" s="26"/>
      <c r="CB10" s="26"/>
      <c r="CC10" s="26"/>
      <c r="CD10" s="26"/>
      <c r="CE10" s="26"/>
      <c r="CF10" s="26"/>
      <c r="CG10" s="26"/>
      <c r="CH10" s="26"/>
      <c r="CI10" s="26"/>
      <c r="CJ10" s="26"/>
      <c r="CK10" s="26"/>
      <c r="CL10" s="26"/>
      <c r="CM10" s="26"/>
      <c r="CN10" s="26"/>
      <c r="CO10" s="26"/>
      <c r="CP10" s="26"/>
      <c r="CQ10" s="26"/>
      <c r="CR10" s="26"/>
      <c r="CS10" s="26"/>
      <c r="CT10" s="26"/>
      <c r="CU10" s="26"/>
      <c r="CV10" s="26"/>
      <c r="CW10" s="26"/>
      <c r="CX10" s="26"/>
      <c r="CY10" s="26"/>
      <c r="CZ10" s="26"/>
      <c r="DA10" s="26"/>
      <c r="DB10" s="26"/>
      <c r="DC10" s="26"/>
      <c r="DD10" s="26"/>
      <c r="DE10" s="26"/>
      <c r="DF10" s="26"/>
      <c r="DG10" s="26"/>
      <c r="DH10" s="26"/>
      <c r="DI10" s="26"/>
      <c r="DJ10" s="26"/>
      <c r="DK10" s="26"/>
      <c r="DL10" s="26"/>
      <c r="DM10" s="26"/>
      <c r="DN10" s="26"/>
      <c r="DO10" s="26"/>
      <c r="DP10" s="26"/>
      <c r="DQ10" s="26"/>
      <c r="DR10" s="26"/>
      <c r="DS10" s="26"/>
      <c r="DT10" s="26"/>
      <c r="DU10" s="26"/>
      <c r="DV10" s="26"/>
      <c r="DW10" s="26"/>
      <c r="DX10" s="26"/>
      <c r="DY10" s="26"/>
      <c r="DZ10" s="26"/>
      <c r="EA10" s="26"/>
      <c r="EB10" s="26"/>
      <c r="EC10" s="26"/>
      <c r="ED10" s="26"/>
      <c r="EE10" s="26"/>
      <c r="EF10" s="26"/>
    </row>
    <row r="11" spans="2:136" s="9" customFormat="1">
      <c r="B11" s="14" t="s">
        <v>81</v>
      </c>
      <c r="C11" s="108">
        <v>50</v>
      </c>
      <c r="D11" s="15" t="s">
        <v>9</v>
      </c>
      <c r="E11" s="18" t="s">
        <v>83</v>
      </c>
      <c r="F11" s="19"/>
      <c r="G11" s="19"/>
      <c r="H11" s="19"/>
      <c r="I11" s="20"/>
      <c r="J11" s="201"/>
      <c r="M11" s="26"/>
      <c r="N11" s="26"/>
      <c r="O11" s="26"/>
      <c r="P11" s="26"/>
      <c r="Q11" s="26"/>
      <c r="R11" s="26"/>
      <c r="S11" s="26"/>
      <c r="T11" s="26"/>
      <c r="U11" s="26"/>
      <c r="V11" s="26"/>
      <c r="W11" s="26"/>
      <c r="X11" s="26"/>
      <c r="Y11" s="26"/>
      <c r="Z11" s="26"/>
      <c r="AA11" s="26"/>
      <c r="AB11" s="26"/>
      <c r="AC11" s="26"/>
      <c r="AD11" s="26"/>
      <c r="AE11" s="26"/>
      <c r="AF11" s="26"/>
      <c r="AG11" s="26"/>
      <c r="AH11" s="26"/>
      <c r="AI11" s="26"/>
      <c r="AJ11" s="26"/>
      <c r="AK11" s="26"/>
      <c r="AL11" s="100"/>
      <c r="AM11" s="100"/>
      <c r="AN11" s="100"/>
      <c r="AO11" s="100"/>
      <c r="AP11" s="100"/>
      <c r="AQ11" s="100"/>
      <c r="AR11" s="100"/>
      <c r="AS11" s="100"/>
      <c r="AT11" s="100"/>
      <c r="AU11" s="100"/>
      <c r="AV11" s="100"/>
      <c r="AW11" s="100"/>
      <c r="AX11" s="100"/>
      <c r="AY11" s="100"/>
      <c r="AZ11" s="100"/>
      <c r="BA11" s="100"/>
      <c r="BB11" s="100"/>
      <c r="BC11" s="100"/>
      <c r="BD11" s="100"/>
      <c r="BE11" s="100"/>
      <c r="BF11" s="100"/>
      <c r="BG11" s="100"/>
      <c r="BH11" s="100"/>
      <c r="BI11" s="100"/>
      <c r="BJ11" s="100"/>
      <c r="BK11" s="100"/>
      <c r="BL11" s="100"/>
      <c r="BM11" s="100"/>
      <c r="BN11" s="100"/>
      <c r="BO11" s="100"/>
      <c r="BP11" s="100"/>
      <c r="BQ11" s="100"/>
      <c r="BR11" s="100"/>
      <c r="BS11" s="100"/>
      <c r="BT11" s="26"/>
      <c r="BU11" s="26"/>
      <c r="BV11" s="26"/>
      <c r="BW11" s="26"/>
      <c r="BX11" s="26"/>
      <c r="BY11" s="26"/>
      <c r="BZ11" s="26"/>
      <c r="CA11" s="26"/>
      <c r="CB11" s="26"/>
      <c r="CC11" s="26"/>
      <c r="CD11" s="26"/>
      <c r="CE11" s="26"/>
      <c r="CF11" s="26"/>
      <c r="CG11" s="26"/>
      <c r="CH11" s="26"/>
      <c r="CI11" s="26"/>
      <c r="CJ11" s="26"/>
      <c r="CK11" s="26"/>
      <c r="CL11" s="26"/>
      <c r="CM11" s="26"/>
      <c r="CN11" s="26"/>
      <c r="CO11" s="26"/>
      <c r="CP11" s="26"/>
      <c r="CQ11" s="26"/>
      <c r="CR11" s="26"/>
      <c r="CS11" s="26"/>
      <c r="CT11" s="26"/>
      <c r="CU11" s="26"/>
      <c r="CV11" s="26"/>
      <c r="CW11" s="26"/>
      <c r="CX11" s="26"/>
      <c r="CY11" s="26"/>
      <c r="CZ11" s="26"/>
      <c r="DA11" s="26"/>
      <c r="DB11" s="26"/>
      <c r="DC11" s="26"/>
      <c r="DD11" s="26"/>
      <c r="DE11" s="26"/>
      <c r="DF11" s="26"/>
      <c r="DG11" s="26"/>
      <c r="DH11" s="26"/>
      <c r="DI11" s="26"/>
      <c r="DJ11" s="26"/>
      <c r="DK11" s="26"/>
      <c r="DL11" s="26"/>
      <c r="DM11" s="26"/>
      <c r="DN11" s="26"/>
      <c r="DO11" s="26"/>
      <c r="DP11" s="26"/>
      <c r="DQ11" s="26"/>
      <c r="DR11" s="26"/>
      <c r="DS11" s="26"/>
      <c r="DT11" s="26"/>
      <c r="DU11" s="26"/>
      <c r="DV11" s="26"/>
      <c r="DW11" s="26"/>
      <c r="DX11" s="26"/>
      <c r="DY11" s="26"/>
      <c r="DZ11" s="26"/>
      <c r="EA11" s="26"/>
      <c r="EB11" s="26"/>
      <c r="EC11" s="26"/>
      <c r="ED11" s="26"/>
      <c r="EE11" s="26"/>
      <c r="EF11" s="26"/>
    </row>
    <row r="12" spans="2:136" s="9" customFormat="1">
      <c r="B12" s="14" t="s">
        <v>82</v>
      </c>
      <c r="C12" s="108">
        <v>50</v>
      </c>
      <c r="D12" s="15" t="s">
        <v>9</v>
      </c>
      <c r="E12" s="18" t="s">
        <v>84</v>
      </c>
      <c r="F12" s="19"/>
      <c r="G12" s="19"/>
      <c r="H12" s="19"/>
      <c r="I12" s="20"/>
      <c r="J12" s="201"/>
      <c r="M12" s="26"/>
      <c r="N12" s="26"/>
      <c r="O12" s="26"/>
      <c r="P12" s="26"/>
      <c r="Q12" s="26"/>
      <c r="R12" s="26"/>
      <c r="S12" s="26"/>
      <c r="T12" s="26"/>
      <c r="U12" s="26"/>
      <c r="V12" s="26"/>
      <c r="W12" s="26"/>
      <c r="X12" s="26"/>
      <c r="Y12" s="26"/>
      <c r="Z12" s="26"/>
      <c r="AA12" s="26"/>
      <c r="AB12" s="26"/>
      <c r="AC12" s="26"/>
      <c r="AD12" s="26"/>
      <c r="AE12" s="26"/>
      <c r="AF12" s="26"/>
      <c r="AG12" s="26"/>
      <c r="AH12" s="26"/>
      <c r="AI12" s="26"/>
      <c r="AJ12" s="26"/>
      <c r="AK12" s="26"/>
      <c r="AL12" s="100"/>
      <c r="AM12" s="100"/>
      <c r="AN12" s="100"/>
      <c r="AO12" s="100"/>
      <c r="AP12" s="100"/>
      <c r="AQ12" s="100"/>
      <c r="AR12" s="100"/>
      <c r="AS12" s="100"/>
      <c r="AT12" s="100"/>
      <c r="AU12" s="100"/>
      <c r="AV12" s="100"/>
      <c r="AW12" s="100"/>
      <c r="AX12" s="100"/>
      <c r="AY12" s="100"/>
      <c r="AZ12" s="100"/>
      <c r="BA12" s="100"/>
      <c r="BB12" s="100"/>
      <c r="BC12" s="100"/>
      <c r="BD12" s="100"/>
      <c r="BE12" s="100"/>
      <c r="BF12" s="100"/>
      <c r="BG12" s="100"/>
      <c r="BH12" s="100"/>
      <c r="BI12" s="100"/>
      <c r="BJ12" s="100"/>
      <c r="BK12" s="100"/>
      <c r="BL12" s="100"/>
      <c r="BM12" s="100"/>
      <c r="BN12" s="100"/>
      <c r="BO12" s="100"/>
      <c r="BP12" s="100"/>
      <c r="BQ12" s="100"/>
      <c r="BR12" s="100"/>
      <c r="BS12" s="100"/>
      <c r="BT12" s="26"/>
      <c r="BU12" s="26"/>
      <c r="BV12" s="26"/>
      <c r="BW12" s="26"/>
      <c r="BX12" s="26"/>
      <c r="BY12" s="26"/>
      <c r="BZ12" s="26"/>
      <c r="CA12" s="26"/>
      <c r="CB12" s="26"/>
      <c r="CC12" s="26"/>
      <c r="CD12" s="26"/>
      <c r="CE12" s="26"/>
      <c r="CF12" s="26"/>
      <c r="CG12" s="26"/>
      <c r="CH12" s="26"/>
      <c r="CI12" s="26"/>
      <c r="CJ12" s="26"/>
      <c r="CK12" s="26"/>
      <c r="CL12" s="26"/>
      <c r="CM12" s="26"/>
      <c r="CN12" s="26"/>
      <c r="CO12" s="26"/>
      <c r="CP12" s="26"/>
      <c r="CQ12" s="26"/>
      <c r="CR12" s="26"/>
      <c r="CS12" s="26"/>
      <c r="CT12" s="26"/>
      <c r="CU12" s="26"/>
      <c r="CV12" s="26"/>
      <c r="CW12" s="26"/>
      <c r="CX12" s="26"/>
      <c r="CY12" s="26"/>
      <c r="CZ12" s="26"/>
      <c r="DA12" s="26"/>
      <c r="DB12" s="26"/>
      <c r="DC12" s="26"/>
      <c r="DD12" s="26"/>
      <c r="DE12" s="26"/>
      <c r="DF12" s="26"/>
      <c r="DG12" s="26"/>
      <c r="DH12" s="26"/>
      <c r="DI12" s="26"/>
      <c r="DJ12" s="26"/>
      <c r="DK12" s="26"/>
      <c r="DL12" s="26"/>
      <c r="DM12" s="26"/>
      <c r="DN12" s="26"/>
      <c r="DO12" s="26"/>
      <c r="DP12" s="26"/>
      <c r="DQ12" s="26"/>
      <c r="DR12" s="26"/>
      <c r="DS12" s="26"/>
      <c r="DT12" s="26"/>
      <c r="DU12" s="26"/>
      <c r="DV12" s="26"/>
      <c r="DW12" s="26"/>
      <c r="DX12" s="26"/>
      <c r="DY12" s="26"/>
      <c r="DZ12" s="26"/>
      <c r="EA12" s="26"/>
      <c r="EB12" s="26"/>
      <c r="EC12" s="26"/>
      <c r="ED12" s="26"/>
      <c r="EE12" s="26"/>
      <c r="EF12" s="26"/>
    </row>
    <row r="13" spans="2:136" s="9" customFormat="1">
      <c r="B13" s="14" t="s">
        <v>87</v>
      </c>
      <c r="C13" s="108">
        <v>432</v>
      </c>
      <c r="D13" s="15" t="s">
        <v>10</v>
      </c>
      <c r="E13" s="18" t="s">
        <v>69</v>
      </c>
      <c r="F13" s="19"/>
      <c r="G13" s="19"/>
      <c r="H13" s="19"/>
      <c r="I13" s="20"/>
      <c r="J13" s="201"/>
      <c r="M13" s="26"/>
      <c r="N13" s="26"/>
      <c r="O13" s="26"/>
      <c r="P13" s="26"/>
      <c r="Q13" s="26"/>
      <c r="R13" s="26"/>
      <c r="S13" s="26"/>
      <c r="T13" s="26"/>
      <c r="U13" s="26"/>
      <c r="V13" s="26"/>
      <c r="W13" s="26"/>
      <c r="X13" s="26"/>
      <c r="Y13" s="26"/>
      <c r="Z13" s="26"/>
      <c r="AA13" s="26"/>
      <c r="AB13" s="26"/>
      <c r="AC13" s="26"/>
      <c r="AD13" s="26"/>
      <c r="AE13" s="26"/>
      <c r="AF13" s="26"/>
      <c r="AG13" s="26"/>
      <c r="AH13" s="26"/>
      <c r="AI13" s="26"/>
      <c r="AJ13" s="26"/>
      <c r="AK13" s="26"/>
      <c r="AL13" s="100"/>
      <c r="AM13" s="100"/>
      <c r="AN13" s="100"/>
      <c r="AO13" s="100"/>
      <c r="AP13" s="100"/>
      <c r="AQ13" s="100"/>
      <c r="AR13" s="100"/>
      <c r="AS13" s="100"/>
      <c r="AT13" s="100"/>
      <c r="AU13" s="100"/>
      <c r="AV13" s="100"/>
      <c r="AW13" s="100"/>
      <c r="AX13" s="100"/>
      <c r="AY13" s="100"/>
      <c r="AZ13" s="100"/>
      <c r="BA13" s="100"/>
      <c r="BB13" s="100"/>
      <c r="BC13" s="100"/>
      <c r="BD13" s="100"/>
      <c r="BE13" s="100"/>
      <c r="BF13" s="100"/>
      <c r="BG13" s="100"/>
      <c r="BH13" s="100"/>
      <c r="BI13" s="100"/>
      <c r="BJ13" s="100"/>
      <c r="BK13" s="100"/>
      <c r="BL13" s="100"/>
      <c r="BM13" s="100"/>
      <c r="BN13" s="100"/>
      <c r="BO13" s="100"/>
      <c r="BP13" s="100"/>
      <c r="BQ13" s="100"/>
      <c r="BR13" s="100"/>
      <c r="BS13" s="100"/>
      <c r="BT13" s="26"/>
      <c r="BU13" s="26"/>
      <c r="BV13" s="26"/>
      <c r="BW13" s="26"/>
      <c r="BX13" s="26"/>
      <c r="BY13" s="26"/>
      <c r="BZ13" s="26"/>
      <c r="CA13" s="26"/>
      <c r="CB13" s="26"/>
      <c r="CC13" s="26"/>
      <c r="CD13" s="26"/>
      <c r="CE13" s="26"/>
      <c r="CF13" s="26"/>
      <c r="CG13" s="26"/>
      <c r="CH13" s="26"/>
      <c r="CI13" s="26"/>
      <c r="CJ13" s="26"/>
      <c r="CK13" s="26"/>
      <c r="CL13" s="26"/>
      <c r="CM13" s="26"/>
      <c r="CN13" s="26"/>
      <c r="CO13" s="26"/>
      <c r="CP13" s="26"/>
      <c r="CQ13" s="26"/>
      <c r="CR13" s="26"/>
      <c r="CS13" s="26"/>
      <c r="CT13" s="26"/>
      <c r="CU13" s="26"/>
      <c r="CV13" s="26"/>
      <c r="CW13" s="26"/>
      <c r="CX13" s="26"/>
      <c r="CY13" s="26"/>
      <c r="CZ13" s="26"/>
      <c r="DA13" s="26"/>
      <c r="DB13" s="26"/>
      <c r="DC13" s="26"/>
      <c r="DD13" s="26"/>
      <c r="DE13" s="26"/>
      <c r="DF13" s="26"/>
      <c r="DG13" s="26"/>
      <c r="DH13" s="26"/>
      <c r="DI13" s="26"/>
      <c r="DJ13" s="26"/>
      <c r="DK13" s="26"/>
      <c r="DL13" s="26"/>
      <c r="DM13" s="26"/>
      <c r="DN13" s="26"/>
      <c r="DO13" s="26"/>
      <c r="DP13" s="26"/>
      <c r="DQ13" s="26"/>
      <c r="DR13" s="26"/>
      <c r="DS13" s="26"/>
      <c r="DT13" s="26"/>
      <c r="DU13" s="26"/>
      <c r="DV13" s="26"/>
      <c r="DW13" s="26"/>
      <c r="DX13" s="26"/>
      <c r="DY13" s="26"/>
      <c r="DZ13" s="26"/>
      <c r="EA13" s="26"/>
      <c r="EB13" s="26"/>
      <c r="EC13" s="26"/>
      <c r="ED13" s="26"/>
      <c r="EE13" s="26"/>
      <c r="EF13" s="26"/>
    </row>
    <row r="14" spans="2:136">
      <c r="B14" s="14" t="s">
        <v>88</v>
      </c>
      <c r="C14" s="109">
        <v>350</v>
      </c>
      <c r="D14" s="15" t="s">
        <v>10</v>
      </c>
      <c r="E14" s="180" t="s">
        <v>70</v>
      </c>
      <c r="F14" s="181"/>
      <c r="G14" s="181"/>
      <c r="H14" s="181"/>
      <c r="I14" s="182"/>
      <c r="J14" s="201"/>
    </row>
    <row r="15" spans="2:136" s="9" customFormat="1">
      <c r="B15" s="14" t="s">
        <v>89</v>
      </c>
      <c r="C15" s="153">
        <v>31</v>
      </c>
      <c r="D15" s="15" t="s">
        <v>10</v>
      </c>
      <c r="E15" s="18" t="s">
        <v>91</v>
      </c>
      <c r="F15" s="19"/>
      <c r="G15" s="19"/>
      <c r="H15" s="19"/>
      <c r="I15" s="20"/>
      <c r="J15" s="201"/>
      <c r="M15" s="26"/>
      <c r="N15" s="26"/>
      <c r="O15" s="26"/>
      <c r="P15" s="26"/>
      <c r="Q15" s="26"/>
      <c r="R15" s="26"/>
      <c r="S15" s="26"/>
      <c r="T15" s="26"/>
      <c r="U15" s="26"/>
      <c r="V15" s="26"/>
      <c r="W15" s="26"/>
      <c r="X15" s="26"/>
      <c r="Y15" s="26"/>
      <c r="Z15" s="26"/>
      <c r="AA15" s="26"/>
      <c r="AB15" s="26"/>
      <c r="AC15" s="26"/>
      <c r="AD15" s="26"/>
      <c r="AE15" s="26"/>
      <c r="AF15" s="26"/>
      <c r="AG15" s="26"/>
      <c r="AH15" s="26"/>
      <c r="AI15" s="26"/>
      <c r="AJ15" s="26"/>
      <c r="AK15" s="26"/>
      <c r="AL15" s="100"/>
      <c r="AM15" s="100"/>
      <c r="AN15" s="100"/>
      <c r="AO15" s="100"/>
      <c r="AP15" s="100"/>
      <c r="AQ15" s="100"/>
      <c r="AR15" s="100"/>
      <c r="AS15" s="100"/>
      <c r="AT15" s="100"/>
      <c r="AU15" s="100"/>
      <c r="AV15" s="100"/>
      <c r="AW15" s="100"/>
      <c r="AX15" s="100"/>
      <c r="AY15" s="100"/>
      <c r="AZ15" s="100"/>
      <c r="BA15" s="100"/>
      <c r="BB15" s="100"/>
      <c r="BC15" s="100"/>
      <c r="BD15" s="100"/>
      <c r="BE15" s="100"/>
      <c r="BF15" s="100"/>
      <c r="BG15" s="100"/>
      <c r="BH15" s="100"/>
      <c r="BI15" s="100"/>
      <c r="BJ15" s="100"/>
      <c r="BK15" s="100"/>
      <c r="BL15" s="100"/>
      <c r="BM15" s="100"/>
      <c r="BN15" s="100"/>
      <c r="BO15" s="100"/>
      <c r="BP15" s="100"/>
      <c r="BQ15" s="100"/>
      <c r="BR15" s="100"/>
      <c r="BS15" s="100"/>
      <c r="BT15" s="26"/>
      <c r="BU15" s="26"/>
      <c r="BV15" s="26"/>
      <c r="BW15" s="26"/>
      <c r="BX15" s="26"/>
      <c r="BY15" s="26"/>
      <c r="BZ15" s="26"/>
      <c r="CA15" s="26"/>
      <c r="CB15" s="26"/>
      <c r="CC15" s="26"/>
      <c r="CD15" s="26"/>
      <c r="CE15" s="26"/>
      <c r="CF15" s="26"/>
      <c r="CG15" s="26"/>
      <c r="CH15" s="26"/>
      <c r="CI15" s="26"/>
      <c r="CJ15" s="26"/>
      <c r="CK15" s="26"/>
      <c r="CL15" s="26"/>
      <c r="CM15" s="26"/>
      <c r="CN15" s="26"/>
      <c r="CO15" s="26"/>
      <c r="CP15" s="26"/>
      <c r="CQ15" s="26"/>
      <c r="CR15" s="26"/>
      <c r="CS15" s="26"/>
      <c r="CT15" s="26"/>
      <c r="CU15" s="26"/>
      <c r="CV15" s="26"/>
      <c r="CW15" s="26"/>
      <c r="CX15" s="26"/>
      <c r="CY15" s="26"/>
      <c r="CZ15" s="26"/>
      <c r="DA15" s="26"/>
      <c r="DB15" s="26"/>
      <c r="DC15" s="26"/>
      <c r="DD15" s="26"/>
      <c r="DE15" s="26"/>
      <c r="DF15" s="26"/>
      <c r="DG15" s="26"/>
      <c r="DH15" s="26"/>
      <c r="DI15" s="26"/>
      <c r="DJ15" s="26"/>
      <c r="DK15" s="26"/>
      <c r="DL15" s="26"/>
      <c r="DM15" s="26"/>
      <c r="DN15" s="26"/>
      <c r="DO15" s="26"/>
      <c r="DP15" s="26"/>
      <c r="DQ15" s="26"/>
      <c r="DR15" s="26"/>
      <c r="DS15" s="26"/>
      <c r="DT15" s="26"/>
      <c r="DU15" s="26"/>
      <c r="DV15" s="26"/>
      <c r="DW15" s="26"/>
      <c r="DX15" s="26"/>
      <c r="DY15" s="26"/>
      <c r="DZ15" s="26"/>
      <c r="EA15" s="26"/>
      <c r="EB15" s="26"/>
      <c r="EC15" s="26"/>
      <c r="ED15" s="26"/>
      <c r="EE15" s="26"/>
      <c r="EF15" s="26"/>
    </row>
    <row r="16" spans="2:136" s="9" customFormat="1">
      <c r="B16" s="14" t="s">
        <v>90</v>
      </c>
      <c r="C16" s="153">
        <v>33</v>
      </c>
      <c r="D16" s="15" t="s">
        <v>10</v>
      </c>
      <c r="E16" s="18" t="s">
        <v>92</v>
      </c>
      <c r="F16" s="19"/>
      <c r="G16" s="19"/>
      <c r="H16" s="19"/>
      <c r="I16" s="20"/>
      <c r="J16" s="201"/>
      <c r="M16" s="26"/>
      <c r="N16" s="26"/>
      <c r="O16" s="26"/>
      <c r="P16" s="26"/>
      <c r="Q16" s="26"/>
      <c r="R16" s="26"/>
      <c r="S16" s="26"/>
      <c r="T16" s="26"/>
      <c r="U16" s="26"/>
      <c r="V16" s="26"/>
      <c r="W16" s="26"/>
      <c r="X16" s="26"/>
      <c r="Y16" s="26"/>
      <c r="Z16" s="26"/>
      <c r="AA16" s="26"/>
      <c r="AB16" s="26"/>
      <c r="AC16" s="26"/>
      <c r="AD16" s="26"/>
      <c r="AE16" s="26"/>
      <c r="AF16" s="26"/>
      <c r="AG16" s="26"/>
      <c r="AH16" s="26"/>
      <c r="AI16" s="26"/>
      <c r="AJ16" s="26"/>
      <c r="AK16" s="26"/>
      <c r="AL16" s="100"/>
      <c r="AM16" s="100"/>
      <c r="AN16" s="100"/>
      <c r="AO16" s="100"/>
      <c r="AP16" s="100"/>
      <c r="AQ16" s="100"/>
      <c r="AR16" s="100"/>
      <c r="AS16" s="100"/>
      <c r="AT16" s="100"/>
      <c r="AU16" s="100"/>
      <c r="AV16" s="100"/>
      <c r="AW16" s="100"/>
      <c r="AX16" s="100"/>
      <c r="AY16" s="100"/>
      <c r="AZ16" s="100"/>
      <c r="BA16" s="100"/>
      <c r="BB16" s="100"/>
      <c r="BC16" s="100"/>
      <c r="BD16" s="100"/>
      <c r="BE16" s="100"/>
      <c r="BF16" s="100"/>
      <c r="BG16" s="100"/>
      <c r="BH16" s="100"/>
      <c r="BI16" s="100"/>
      <c r="BJ16" s="100"/>
      <c r="BK16" s="100"/>
      <c r="BL16" s="100"/>
      <c r="BM16" s="100"/>
      <c r="BN16" s="100"/>
      <c r="BO16" s="100"/>
      <c r="BP16" s="100"/>
      <c r="BQ16" s="100"/>
      <c r="BR16" s="100"/>
      <c r="BS16" s="100"/>
      <c r="BT16" s="26"/>
      <c r="BU16" s="26"/>
      <c r="BV16" s="26"/>
      <c r="BW16" s="26"/>
      <c r="BX16" s="26"/>
      <c r="BY16" s="26"/>
      <c r="BZ16" s="26"/>
      <c r="CA16" s="26"/>
      <c r="CB16" s="26"/>
      <c r="CC16" s="26"/>
      <c r="CD16" s="26"/>
      <c r="CE16" s="26"/>
      <c r="CF16" s="26"/>
      <c r="CG16" s="26"/>
      <c r="CH16" s="26"/>
      <c r="CI16" s="26"/>
      <c r="CJ16" s="26"/>
      <c r="CK16" s="26"/>
      <c r="CL16" s="26"/>
      <c r="CM16" s="26"/>
      <c r="CN16" s="26"/>
      <c r="CO16" s="26"/>
      <c r="CP16" s="26"/>
      <c r="CQ16" s="26"/>
      <c r="CR16" s="26"/>
      <c r="CS16" s="26"/>
      <c r="CT16" s="26"/>
      <c r="CU16" s="26"/>
      <c r="CV16" s="26"/>
      <c r="CW16" s="26"/>
      <c r="CX16" s="26"/>
      <c r="CY16" s="26"/>
      <c r="CZ16" s="26"/>
      <c r="DA16" s="26"/>
      <c r="DB16" s="26"/>
      <c r="DC16" s="26"/>
      <c r="DD16" s="26"/>
      <c r="DE16" s="26"/>
      <c r="DF16" s="26"/>
      <c r="DG16" s="26"/>
      <c r="DH16" s="26"/>
      <c r="DI16" s="26"/>
      <c r="DJ16" s="26"/>
      <c r="DK16" s="26"/>
      <c r="DL16" s="26"/>
      <c r="DM16" s="26"/>
      <c r="DN16" s="26"/>
      <c r="DO16" s="26"/>
      <c r="DP16" s="26"/>
      <c r="DQ16" s="26"/>
      <c r="DR16" s="26"/>
      <c r="DS16" s="26"/>
      <c r="DT16" s="26"/>
      <c r="DU16" s="26"/>
      <c r="DV16" s="26"/>
      <c r="DW16" s="26"/>
      <c r="DX16" s="26"/>
      <c r="DY16" s="26"/>
      <c r="DZ16" s="26"/>
      <c r="EA16" s="26"/>
      <c r="EB16" s="26"/>
      <c r="EC16" s="26"/>
      <c r="ED16" s="26"/>
      <c r="EE16" s="26"/>
      <c r="EF16" s="26"/>
    </row>
    <row r="17" spans="2:136" s="9" customFormat="1">
      <c r="B17" s="14" t="s">
        <v>71</v>
      </c>
      <c r="C17" s="109">
        <v>1.1399999999999999</v>
      </c>
      <c r="D17" s="15" t="s">
        <v>63</v>
      </c>
      <c r="E17" s="18" t="s">
        <v>482</v>
      </c>
      <c r="F17" s="19"/>
      <c r="G17" s="19"/>
      <c r="H17" s="19"/>
      <c r="I17" s="20"/>
      <c r="J17" s="201"/>
      <c r="M17" s="26"/>
      <c r="N17" s="26"/>
      <c r="O17" s="26"/>
      <c r="P17" s="26"/>
      <c r="Q17" s="26"/>
      <c r="R17" s="26"/>
      <c r="S17" s="26"/>
      <c r="T17" s="26"/>
      <c r="U17" s="26"/>
      <c r="V17" s="26"/>
      <c r="W17" s="26"/>
      <c r="X17" s="26"/>
      <c r="Y17" s="26"/>
      <c r="Z17" s="26"/>
      <c r="AA17" s="26"/>
      <c r="AB17" s="26"/>
      <c r="AC17" s="26"/>
      <c r="AD17" s="26"/>
      <c r="AE17" s="26"/>
      <c r="AF17" s="26"/>
      <c r="AG17" s="26"/>
      <c r="AH17" s="26"/>
      <c r="AI17" s="26"/>
      <c r="AJ17" s="26"/>
      <c r="AK17" s="26"/>
      <c r="AL17" s="100"/>
      <c r="AM17" s="100"/>
      <c r="AN17" s="100"/>
      <c r="AO17" s="100"/>
      <c r="AP17" s="100"/>
      <c r="AQ17" s="100"/>
      <c r="AR17" s="100"/>
      <c r="AS17" s="100"/>
      <c r="AT17" s="100"/>
      <c r="AU17" s="100"/>
      <c r="AV17" s="100"/>
      <c r="AW17" s="100"/>
      <c r="AX17" s="100"/>
      <c r="AY17" s="100"/>
      <c r="AZ17" s="100"/>
      <c r="BA17" s="100"/>
      <c r="BB17" s="100"/>
      <c r="BC17" s="100"/>
      <c r="BD17" s="100"/>
      <c r="BE17" s="100"/>
      <c r="BF17" s="100"/>
      <c r="BG17" s="100"/>
      <c r="BH17" s="100"/>
      <c r="BI17" s="100"/>
      <c r="BJ17" s="100"/>
      <c r="BK17" s="100"/>
      <c r="BL17" s="100"/>
      <c r="BM17" s="100"/>
      <c r="BN17" s="100"/>
      <c r="BO17" s="100"/>
      <c r="BP17" s="100"/>
      <c r="BQ17" s="100"/>
      <c r="BR17" s="100"/>
      <c r="BS17" s="100"/>
      <c r="BT17" s="26"/>
      <c r="BU17" s="26"/>
      <c r="BV17" s="26"/>
      <c r="BW17" s="26"/>
      <c r="BX17" s="26"/>
      <c r="BY17" s="26"/>
      <c r="BZ17" s="26"/>
      <c r="CA17" s="26"/>
      <c r="CB17" s="26"/>
      <c r="CC17" s="26"/>
      <c r="CD17" s="26"/>
      <c r="CE17" s="26"/>
      <c r="CF17" s="26"/>
      <c r="CG17" s="26"/>
      <c r="CH17" s="26"/>
      <c r="CI17" s="26"/>
      <c r="CJ17" s="26"/>
      <c r="CK17" s="26"/>
      <c r="CL17" s="26"/>
      <c r="CM17" s="26"/>
      <c r="CN17" s="26"/>
      <c r="CO17" s="26"/>
      <c r="CP17" s="26"/>
      <c r="CQ17" s="26"/>
      <c r="CR17" s="26"/>
      <c r="CS17" s="26"/>
      <c r="CT17" s="26"/>
      <c r="CU17" s="26"/>
      <c r="CV17" s="26"/>
      <c r="CW17" s="26"/>
      <c r="CX17" s="26"/>
      <c r="CY17" s="26"/>
      <c r="CZ17" s="26"/>
      <c r="DA17" s="26"/>
      <c r="DB17" s="26"/>
      <c r="DC17" s="26"/>
      <c r="DD17" s="26"/>
      <c r="DE17" s="26"/>
      <c r="DF17" s="26"/>
      <c r="DG17" s="26"/>
      <c r="DH17" s="26"/>
      <c r="DI17" s="26"/>
      <c r="DJ17" s="26"/>
      <c r="DK17" s="26"/>
      <c r="DL17" s="26"/>
      <c r="DM17" s="26"/>
      <c r="DN17" s="26"/>
      <c r="DO17" s="26"/>
      <c r="DP17" s="26"/>
      <c r="DQ17" s="26"/>
      <c r="DR17" s="26"/>
      <c r="DS17" s="26"/>
      <c r="DT17" s="26"/>
      <c r="DU17" s="26"/>
      <c r="DV17" s="26"/>
      <c r="DW17" s="26"/>
      <c r="DX17" s="26"/>
      <c r="DY17" s="26"/>
      <c r="DZ17" s="26"/>
      <c r="EA17" s="26"/>
      <c r="EB17" s="26"/>
      <c r="EC17" s="26"/>
      <c r="ED17" s="26"/>
      <c r="EE17" s="26"/>
      <c r="EF17" s="26"/>
    </row>
    <row r="18" spans="2:136" s="9" customFormat="1">
      <c r="B18" s="14" t="s">
        <v>350</v>
      </c>
      <c r="C18" s="153">
        <v>17</v>
      </c>
      <c r="D18" s="15" t="s">
        <v>10</v>
      </c>
      <c r="E18" s="180" t="s">
        <v>349</v>
      </c>
      <c r="F18" s="181"/>
      <c r="G18" s="181"/>
      <c r="H18" s="181"/>
      <c r="I18" s="182"/>
      <c r="J18" s="201"/>
      <c r="M18" s="26"/>
      <c r="N18" s="26"/>
      <c r="O18" s="26"/>
      <c r="P18" s="26"/>
      <c r="Q18" s="26"/>
      <c r="R18" s="26"/>
      <c r="S18" s="26"/>
      <c r="T18" s="26"/>
      <c r="U18" s="26"/>
      <c r="V18" s="26"/>
      <c r="W18" s="26"/>
      <c r="X18" s="26"/>
      <c r="Y18" s="26"/>
      <c r="Z18" s="26"/>
      <c r="AA18" s="26"/>
      <c r="AB18" s="26"/>
      <c r="AC18" s="26"/>
      <c r="AD18" s="26"/>
      <c r="AE18" s="26"/>
      <c r="AF18" s="26"/>
      <c r="AG18" s="26"/>
      <c r="AH18" s="26"/>
      <c r="AI18" s="26"/>
      <c r="AJ18" s="26"/>
      <c r="AK18" s="26"/>
      <c r="AL18" s="100"/>
      <c r="AM18" s="100"/>
      <c r="AN18" s="100"/>
      <c r="AO18" s="100"/>
      <c r="AP18" s="100"/>
      <c r="AQ18" s="100"/>
      <c r="AR18" s="100"/>
      <c r="AS18" s="100"/>
      <c r="AT18" s="100"/>
      <c r="AU18" s="100"/>
      <c r="AV18" s="100"/>
      <c r="AW18" s="100"/>
      <c r="AX18" s="100"/>
      <c r="AY18" s="100"/>
      <c r="AZ18" s="100"/>
      <c r="BA18" s="100"/>
      <c r="BB18" s="100"/>
      <c r="BC18" s="100"/>
      <c r="BD18" s="100"/>
      <c r="BE18" s="100"/>
      <c r="BF18" s="100"/>
      <c r="BG18" s="100"/>
      <c r="BH18" s="100"/>
      <c r="BI18" s="100"/>
      <c r="BJ18" s="100"/>
      <c r="BK18" s="100"/>
      <c r="BL18" s="100"/>
      <c r="BM18" s="100"/>
      <c r="BN18" s="100"/>
      <c r="BO18" s="100"/>
      <c r="BP18" s="100"/>
      <c r="BQ18" s="100"/>
      <c r="BR18" s="100"/>
      <c r="BS18" s="100"/>
      <c r="BT18" s="26"/>
      <c r="BU18" s="26"/>
      <c r="BV18" s="26"/>
      <c r="BW18" s="26"/>
      <c r="BX18" s="26"/>
      <c r="BY18" s="26"/>
      <c r="BZ18" s="26"/>
      <c r="CA18" s="26"/>
      <c r="CB18" s="26"/>
      <c r="CC18" s="26"/>
      <c r="CD18" s="26"/>
      <c r="CE18" s="26"/>
      <c r="CF18" s="26"/>
      <c r="CG18" s="26"/>
      <c r="CH18" s="26"/>
      <c r="CI18" s="26"/>
      <c r="CJ18" s="26"/>
      <c r="CK18" s="26"/>
      <c r="CL18" s="26"/>
      <c r="CM18" s="26"/>
      <c r="CN18" s="26"/>
      <c r="CO18" s="26"/>
      <c r="CP18" s="26"/>
      <c r="CQ18" s="26"/>
      <c r="CR18" s="26"/>
      <c r="CS18" s="26"/>
      <c r="CT18" s="26"/>
      <c r="CU18" s="26"/>
      <c r="CV18" s="26"/>
      <c r="CW18" s="26"/>
      <c r="CX18" s="26"/>
      <c r="CY18" s="26"/>
      <c r="CZ18" s="26"/>
      <c r="DA18" s="26"/>
      <c r="DB18" s="26"/>
      <c r="DC18" s="26"/>
      <c r="DD18" s="26"/>
      <c r="DE18" s="26"/>
      <c r="DF18" s="26"/>
      <c r="DG18" s="26"/>
      <c r="DH18" s="26"/>
      <c r="DI18" s="26"/>
      <c r="DJ18" s="26"/>
      <c r="DK18" s="26"/>
      <c r="DL18" s="26"/>
      <c r="DM18" s="26"/>
      <c r="DN18" s="26"/>
      <c r="DO18" s="26"/>
      <c r="DP18" s="26"/>
      <c r="DQ18" s="26"/>
      <c r="DR18" s="26"/>
      <c r="DS18" s="26"/>
      <c r="DT18" s="26"/>
      <c r="DU18" s="26"/>
      <c r="DV18" s="26"/>
      <c r="DW18" s="26"/>
      <c r="DX18" s="26"/>
      <c r="DY18" s="26"/>
      <c r="DZ18" s="26"/>
      <c r="EA18" s="26"/>
      <c r="EB18" s="26"/>
      <c r="EC18" s="26"/>
      <c r="ED18" s="26"/>
      <c r="EE18" s="26"/>
      <c r="EF18" s="26"/>
    </row>
    <row r="19" spans="2:136" s="9" customFormat="1">
      <c r="B19" s="14" t="s">
        <v>351</v>
      </c>
      <c r="C19" s="153">
        <v>4.5</v>
      </c>
      <c r="D19" s="15" t="s">
        <v>10</v>
      </c>
      <c r="E19" s="180" t="s">
        <v>353</v>
      </c>
      <c r="F19" s="181"/>
      <c r="G19" s="181"/>
      <c r="H19" s="181"/>
      <c r="I19" s="182"/>
      <c r="J19" s="201"/>
      <c r="M19" s="26"/>
      <c r="N19" s="26"/>
      <c r="O19" s="26"/>
      <c r="P19" s="26"/>
      <c r="Q19" s="26"/>
      <c r="R19" s="26"/>
      <c r="S19" s="26"/>
      <c r="T19" s="26"/>
      <c r="U19" s="26"/>
      <c r="V19" s="26"/>
      <c r="W19" s="26"/>
      <c r="X19" s="26"/>
      <c r="Y19" s="26"/>
      <c r="Z19" s="26"/>
      <c r="AA19" s="26"/>
      <c r="AB19" s="26"/>
      <c r="AC19" s="26"/>
      <c r="AD19" s="26"/>
      <c r="AE19" s="26"/>
      <c r="AF19" s="26"/>
      <c r="AG19" s="26"/>
      <c r="AH19" s="26"/>
      <c r="AI19" s="26"/>
      <c r="AJ19" s="26"/>
      <c r="AK19" s="26"/>
      <c r="AL19" s="100"/>
      <c r="AM19" s="100"/>
      <c r="AN19" s="100"/>
      <c r="AO19" s="100"/>
      <c r="AP19" s="100"/>
      <c r="AQ19" s="100"/>
      <c r="AR19" s="100"/>
      <c r="AS19" s="100"/>
      <c r="AT19" s="100"/>
      <c r="AU19" s="100"/>
      <c r="AV19" s="100"/>
      <c r="AW19" s="100"/>
      <c r="AX19" s="100"/>
      <c r="AY19" s="100"/>
      <c r="AZ19" s="100"/>
      <c r="BA19" s="100"/>
      <c r="BB19" s="100"/>
      <c r="BC19" s="100"/>
      <c r="BD19" s="100"/>
      <c r="BE19" s="100"/>
      <c r="BF19" s="100"/>
      <c r="BG19" s="100"/>
      <c r="BH19" s="100"/>
      <c r="BI19" s="100"/>
      <c r="BJ19" s="100"/>
      <c r="BK19" s="100"/>
      <c r="BL19" s="100"/>
      <c r="BM19" s="100"/>
      <c r="BN19" s="100"/>
      <c r="BO19" s="100"/>
      <c r="BP19" s="100"/>
      <c r="BQ19" s="100"/>
      <c r="BR19" s="100"/>
      <c r="BS19" s="100"/>
      <c r="BT19" s="26"/>
      <c r="BU19" s="26"/>
      <c r="BV19" s="26"/>
      <c r="BW19" s="26"/>
      <c r="BX19" s="26"/>
      <c r="BY19" s="26"/>
      <c r="BZ19" s="26"/>
      <c r="CA19" s="26"/>
      <c r="CB19" s="26"/>
      <c r="CC19" s="26"/>
      <c r="CD19" s="26"/>
      <c r="CE19" s="26"/>
      <c r="CF19" s="26"/>
      <c r="CG19" s="26"/>
      <c r="CH19" s="26"/>
      <c r="CI19" s="26"/>
      <c r="CJ19" s="26"/>
      <c r="CK19" s="26"/>
      <c r="CL19" s="26"/>
      <c r="CM19" s="26"/>
      <c r="CN19" s="26"/>
      <c r="CO19" s="26"/>
      <c r="CP19" s="26"/>
      <c r="CQ19" s="26"/>
      <c r="CR19" s="26"/>
      <c r="CS19" s="26"/>
      <c r="CT19" s="26"/>
      <c r="CU19" s="26"/>
      <c r="CV19" s="26"/>
      <c r="CW19" s="26"/>
      <c r="CX19" s="26"/>
      <c r="CY19" s="26"/>
      <c r="CZ19" s="26"/>
      <c r="DA19" s="26"/>
      <c r="DB19" s="26"/>
      <c r="DC19" s="26"/>
      <c r="DD19" s="26"/>
      <c r="DE19" s="26"/>
      <c r="DF19" s="26"/>
      <c r="DG19" s="26"/>
      <c r="DH19" s="26"/>
      <c r="DI19" s="26"/>
      <c r="DJ19" s="26"/>
      <c r="DK19" s="26"/>
      <c r="DL19" s="26"/>
      <c r="DM19" s="26"/>
      <c r="DN19" s="26"/>
      <c r="DO19" s="26"/>
      <c r="DP19" s="26"/>
      <c r="DQ19" s="26"/>
      <c r="DR19" s="26"/>
      <c r="DS19" s="26"/>
      <c r="DT19" s="26"/>
      <c r="DU19" s="26"/>
      <c r="DV19" s="26"/>
      <c r="DW19" s="26"/>
      <c r="DX19" s="26"/>
      <c r="DY19" s="26"/>
      <c r="DZ19" s="26"/>
      <c r="EA19" s="26"/>
      <c r="EB19" s="26"/>
      <c r="EC19" s="26"/>
      <c r="ED19" s="26"/>
      <c r="EE19" s="26"/>
      <c r="EF19" s="26"/>
    </row>
    <row r="20" spans="2:136" s="9" customFormat="1">
      <c r="B20" s="14" t="s">
        <v>352</v>
      </c>
      <c r="C20" s="153">
        <v>1.5</v>
      </c>
      <c r="D20" s="15" t="s">
        <v>10</v>
      </c>
      <c r="E20" s="180" t="s">
        <v>354</v>
      </c>
      <c r="F20" s="181"/>
      <c r="G20" s="181"/>
      <c r="H20" s="181"/>
      <c r="I20" s="182"/>
      <c r="J20" s="201"/>
      <c r="M20" s="26"/>
      <c r="N20" s="26"/>
      <c r="O20" s="26"/>
      <c r="P20" s="26"/>
      <c r="Q20" s="26"/>
      <c r="R20" s="26"/>
      <c r="S20" s="26"/>
      <c r="T20" s="26"/>
      <c r="U20" s="26"/>
      <c r="V20" s="26"/>
      <c r="W20" s="26"/>
      <c r="X20" s="26"/>
      <c r="Y20" s="26"/>
      <c r="Z20" s="26"/>
      <c r="AA20" s="26"/>
      <c r="AB20" s="26"/>
      <c r="AC20" s="26"/>
      <c r="AD20" s="26"/>
      <c r="AE20" s="26"/>
      <c r="AF20" s="26"/>
      <c r="AG20" s="26"/>
      <c r="AH20" s="26"/>
      <c r="AI20" s="26"/>
      <c r="AJ20" s="26"/>
      <c r="AK20" s="26"/>
      <c r="AL20" s="100"/>
      <c r="AM20" s="100"/>
      <c r="AN20" s="100"/>
      <c r="AO20" s="100"/>
      <c r="AP20" s="100"/>
      <c r="AQ20" s="100"/>
      <c r="AR20" s="100"/>
      <c r="AS20" s="100"/>
      <c r="AT20" s="100"/>
      <c r="AU20" s="100"/>
      <c r="AV20" s="100"/>
      <c r="AW20" s="100"/>
      <c r="AX20" s="100"/>
      <c r="AY20" s="100"/>
      <c r="AZ20" s="100"/>
      <c r="BA20" s="100"/>
      <c r="BB20" s="100"/>
      <c r="BC20" s="100"/>
      <c r="BD20" s="100"/>
      <c r="BE20" s="100"/>
      <c r="BF20" s="100"/>
      <c r="BG20" s="100"/>
      <c r="BH20" s="100"/>
      <c r="BI20" s="100"/>
      <c r="BJ20" s="100"/>
      <c r="BK20" s="100"/>
      <c r="BL20" s="100"/>
      <c r="BM20" s="100"/>
      <c r="BN20" s="100"/>
      <c r="BO20" s="100"/>
      <c r="BP20" s="100"/>
      <c r="BQ20" s="100"/>
      <c r="BR20" s="100"/>
      <c r="BS20" s="100"/>
      <c r="BT20" s="26"/>
      <c r="BU20" s="26"/>
      <c r="BV20" s="26"/>
      <c r="BW20" s="26"/>
      <c r="BX20" s="26"/>
      <c r="BY20" s="26"/>
      <c r="BZ20" s="26"/>
      <c r="CA20" s="26"/>
      <c r="CB20" s="26"/>
      <c r="CC20" s="26"/>
      <c r="CD20" s="26"/>
      <c r="CE20" s="26"/>
      <c r="CF20" s="26"/>
      <c r="CG20" s="26"/>
      <c r="CH20" s="26"/>
      <c r="CI20" s="26"/>
      <c r="CJ20" s="26"/>
      <c r="CK20" s="26"/>
      <c r="CL20" s="26"/>
      <c r="CM20" s="26"/>
      <c r="CN20" s="26"/>
      <c r="CO20" s="26"/>
      <c r="CP20" s="26"/>
      <c r="CQ20" s="26"/>
      <c r="CR20" s="26"/>
      <c r="CS20" s="26"/>
      <c r="CT20" s="26"/>
      <c r="CU20" s="26"/>
      <c r="CV20" s="26"/>
      <c r="CW20" s="26"/>
      <c r="CX20" s="26"/>
      <c r="CY20" s="26"/>
      <c r="CZ20" s="26"/>
      <c r="DA20" s="26"/>
      <c r="DB20" s="26"/>
      <c r="DC20" s="26"/>
      <c r="DD20" s="26"/>
      <c r="DE20" s="26"/>
      <c r="DF20" s="26"/>
      <c r="DG20" s="26"/>
      <c r="DH20" s="26"/>
      <c r="DI20" s="26"/>
      <c r="DJ20" s="26"/>
      <c r="DK20" s="26"/>
      <c r="DL20" s="26"/>
      <c r="DM20" s="26"/>
      <c r="DN20" s="26"/>
      <c r="DO20" s="26"/>
      <c r="DP20" s="26"/>
      <c r="DQ20" s="26"/>
      <c r="DR20" s="26"/>
      <c r="DS20" s="26"/>
      <c r="DT20" s="26"/>
      <c r="DU20" s="26"/>
      <c r="DV20" s="26"/>
      <c r="DW20" s="26"/>
      <c r="DX20" s="26"/>
      <c r="DY20" s="26"/>
      <c r="DZ20" s="26"/>
      <c r="EA20" s="26"/>
      <c r="EB20" s="26"/>
      <c r="EC20" s="26"/>
      <c r="ED20" s="26"/>
      <c r="EE20" s="26"/>
      <c r="EF20" s="26"/>
    </row>
    <row r="21" spans="2:136">
      <c r="B21" s="14" t="s">
        <v>333</v>
      </c>
      <c r="C21" s="153">
        <v>15</v>
      </c>
      <c r="D21" s="15" t="s">
        <v>10</v>
      </c>
      <c r="E21" s="180" t="s">
        <v>355</v>
      </c>
      <c r="F21" s="181"/>
      <c r="G21" s="181"/>
      <c r="H21" s="181"/>
      <c r="I21" s="182"/>
      <c r="J21" s="201"/>
    </row>
    <row r="22" spans="2:136" s="9" customFormat="1">
      <c r="B22" s="14" t="s">
        <v>335</v>
      </c>
      <c r="C22" s="109">
        <v>4.5</v>
      </c>
      <c r="D22" s="15" t="s">
        <v>43</v>
      </c>
      <c r="E22" s="18" t="s">
        <v>356</v>
      </c>
      <c r="F22" s="19"/>
      <c r="G22" s="19"/>
      <c r="H22" s="19"/>
      <c r="I22" s="20"/>
      <c r="J22" s="201"/>
      <c r="M22" s="26"/>
      <c r="N22" s="26"/>
      <c r="O22" s="26"/>
      <c r="P22" s="26"/>
      <c r="Q22" s="26"/>
      <c r="R22" s="26"/>
      <c r="S22" s="26"/>
      <c r="T22" s="26"/>
      <c r="U22" s="26"/>
      <c r="V22" s="26"/>
      <c r="W22" s="26"/>
      <c r="X22" s="26"/>
      <c r="Y22" s="26"/>
      <c r="Z22" s="26"/>
      <c r="AA22" s="26"/>
      <c r="AB22" s="26"/>
      <c r="AC22" s="26"/>
      <c r="AD22" s="26"/>
      <c r="AE22" s="26"/>
      <c r="AF22" s="26"/>
      <c r="AG22" s="26"/>
      <c r="AH22" s="26"/>
      <c r="AI22" s="26"/>
      <c r="AJ22" s="26"/>
      <c r="AK22" s="26"/>
      <c r="AL22" s="100"/>
      <c r="AM22" s="100"/>
      <c r="AN22" s="100"/>
      <c r="AO22" s="100"/>
      <c r="AP22" s="100"/>
      <c r="AQ22" s="100"/>
      <c r="AR22" s="100"/>
      <c r="AS22" s="100"/>
      <c r="AT22" s="100"/>
      <c r="AU22" s="100"/>
      <c r="AV22" s="100"/>
      <c r="AW22" s="100"/>
      <c r="AX22" s="100"/>
      <c r="AY22" s="100"/>
      <c r="AZ22" s="100"/>
      <c r="BA22" s="100"/>
      <c r="BB22" s="100"/>
      <c r="BC22" s="100"/>
      <c r="BD22" s="100"/>
      <c r="BE22" s="100"/>
      <c r="BF22" s="100"/>
      <c r="BG22" s="100"/>
      <c r="BH22" s="100"/>
      <c r="BI22" s="100"/>
      <c r="BJ22" s="100"/>
      <c r="BK22" s="100"/>
      <c r="BL22" s="100"/>
      <c r="BM22" s="100"/>
      <c r="BN22" s="100"/>
      <c r="BO22" s="100"/>
      <c r="BP22" s="100"/>
      <c r="BQ22" s="100"/>
      <c r="BR22" s="100"/>
      <c r="BS22" s="100"/>
      <c r="BT22" s="26"/>
      <c r="BU22" s="26"/>
      <c r="BV22" s="26"/>
      <c r="BW22" s="26"/>
      <c r="BX22" s="26"/>
      <c r="BY22" s="26"/>
      <c r="BZ22" s="26"/>
      <c r="CA22" s="26"/>
      <c r="CB22" s="26"/>
      <c r="CC22" s="26"/>
      <c r="CD22" s="26"/>
      <c r="CE22" s="26"/>
      <c r="CF22" s="26"/>
      <c r="CG22" s="26"/>
      <c r="CH22" s="26"/>
      <c r="CI22" s="26"/>
      <c r="CJ22" s="26"/>
      <c r="CK22" s="26"/>
      <c r="CL22" s="26"/>
      <c r="CM22" s="26"/>
      <c r="CN22" s="26"/>
      <c r="CO22" s="26"/>
      <c r="CP22" s="26"/>
      <c r="CQ22" s="26"/>
      <c r="CR22" s="26"/>
      <c r="CS22" s="26"/>
      <c r="CT22" s="26"/>
      <c r="CU22" s="26"/>
      <c r="CV22" s="26"/>
      <c r="CW22" s="26"/>
      <c r="CX22" s="26"/>
      <c r="CY22" s="26"/>
      <c r="CZ22" s="26"/>
      <c r="DA22" s="26"/>
      <c r="DB22" s="26"/>
      <c r="DC22" s="26"/>
      <c r="DD22" s="26"/>
      <c r="DE22" s="26"/>
      <c r="DF22" s="26"/>
      <c r="DG22" s="26"/>
      <c r="DH22" s="26"/>
      <c r="DI22" s="26"/>
      <c r="DJ22" s="26"/>
      <c r="DK22" s="26"/>
      <c r="DL22" s="26"/>
      <c r="DM22" s="26"/>
      <c r="DN22" s="26"/>
      <c r="DO22" s="26"/>
      <c r="DP22" s="26"/>
      <c r="DQ22" s="26"/>
      <c r="DR22" s="26"/>
      <c r="DS22" s="26"/>
      <c r="DT22" s="26"/>
      <c r="DU22" s="26"/>
      <c r="DV22" s="26"/>
      <c r="DW22" s="26"/>
      <c r="DX22" s="26"/>
      <c r="DY22" s="26"/>
      <c r="DZ22" s="26"/>
      <c r="EA22" s="26"/>
      <c r="EB22" s="26"/>
      <c r="EC22" s="26"/>
      <c r="ED22" s="26"/>
      <c r="EE22" s="26"/>
      <c r="EF22" s="26"/>
    </row>
    <row r="23" spans="2:136" ht="18">
      <c r="B23" s="14" t="s">
        <v>11</v>
      </c>
      <c r="C23" s="109">
        <v>1.5</v>
      </c>
      <c r="D23" s="15" t="s">
        <v>12</v>
      </c>
      <c r="E23" s="180" t="s">
        <v>13</v>
      </c>
      <c r="F23" s="181"/>
      <c r="G23" s="181"/>
      <c r="H23" s="181"/>
      <c r="I23" s="182"/>
      <c r="J23" s="201"/>
      <c r="AR23" s="101" t="s">
        <v>115</v>
      </c>
    </row>
    <row r="24" spans="2:136" s="9" customFormat="1" ht="15.75" thickBot="1">
      <c r="B24" s="41" t="s">
        <v>156</v>
      </c>
      <c r="C24" s="128" t="s">
        <v>116</v>
      </c>
      <c r="D24" s="42" t="s">
        <v>5</v>
      </c>
      <c r="E24" s="43" t="s">
        <v>114</v>
      </c>
      <c r="F24" s="44"/>
      <c r="G24" s="44"/>
      <c r="H24" s="44"/>
      <c r="I24" s="45"/>
      <c r="J24" s="202"/>
      <c r="M24" s="26"/>
      <c r="N24" s="26"/>
      <c r="O24" s="26"/>
      <c r="P24" s="26"/>
      <c r="Q24" s="26"/>
      <c r="R24" s="26"/>
      <c r="S24" s="26"/>
      <c r="T24" s="26"/>
      <c r="U24" s="26"/>
      <c r="V24" s="26"/>
      <c r="W24" s="26"/>
      <c r="X24" s="26"/>
      <c r="Y24" s="26"/>
      <c r="Z24" s="26"/>
      <c r="AA24" s="26"/>
      <c r="AB24" s="26"/>
      <c r="AC24" s="26"/>
      <c r="AD24" s="26"/>
      <c r="AE24" s="26"/>
      <c r="AF24" s="26"/>
      <c r="AG24" s="26"/>
      <c r="AH24" s="26"/>
      <c r="AI24" s="26"/>
      <c r="AJ24" s="26"/>
      <c r="AK24" s="26"/>
      <c r="AL24" s="100"/>
      <c r="AM24" s="100"/>
      <c r="AN24" s="100"/>
      <c r="AO24" s="100"/>
      <c r="AP24" s="100"/>
      <c r="AQ24" s="100"/>
      <c r="AR24" s="101" t="s">
        <v>116</v>
      </c>
      <c r="AS24" s="100"/>
      <c r="AT24" s="100"/>
      <c r="AU24" s="100"/>
      <c r="AV24" s="100"/>
      <c r="AW24" s="100"/>
      <c r="AX24" s="100"/>
      <c r="AY24" s="100"/>
      <c r="AZ24" s="100"/>
      <c r="BA24" s="100"/>
      <c r="BB24" s="100"/>
      <c r="BC24" s="100"/>
      <c r="BD24" s="100"/>
      <c r="BE24" s="100"/>
      <c r="BF24" s="100"/>
      <c r="BG24" s="100"/>
      <c r="BH24" s="100"/>
      <c r="BI24" s="100"/>
      <c r="BJ24" s="100"/>
      <c r="BK24" s="100"/>
      <c r="BL24" s="100"/>
      <c r="BM24" s="100"/>
      <c r="BN24" s="100"/>
      <c r="BO24" s="100"/>
      <c r="BP24" s="100"/>
      <c r="BQ24" s="100"/>
      <c r="BR24" s="100"/>
      <c r="BS24" s="100"/>
      <c r="BT24" s="26"/>
      <c r="BU24" s="26"/>
      <c r="BV24" s="26"/>
      <c r="BW24" s="26"/>
      <c r="BX24" s="26"/>
      <c r="BY24" s="26"/>
      <c r="BZ24" s="26"/>
      <c r="CA24" s="26"/>
      <c r="CB24" s="26"/>
      <c r="CC24" s="26"/>
      <c r="CD24" s="26"/>
      <c r="CE24" s="26"/>
      <c r="CF24" s="26"/>
      <c r="CG24" s="26"/>
      <c r="CH24" s="26"/>
      <c r="CI24" s="26"/>
      <c r="CJ24" s="26"/>
      <c r="CK24" s="26"/>
      <c r="CL24" s="26"/>
      <c r="CM24" s="26"/>
      <c r="CN24" s="26"/>
      <c r="CO24" s="26"/>
      <c r="CP24" s="26"/>
      <c r="CQ24" s="26"/>
      <c r="CR24" s="26"/>
      <c r="CS24" s="26"/>
      <c r="CT24" s="26"/>
      <c r="CU24" s="26"/>
      <c r="CV24" s="26"/>
      <c r="CW24" s="26"/>
      <c r="CX24" s="26"/>
      <c r="CY24" s="26"/>
      <c r="CZ24" s="26"/>
      <c r="DA24" s="26"/>
      <c r="DB24" s="26"/>
      <c r="DC24" s="26"/>
      <c r="DD24" s="26"/>
      <c r="DE24" s="26"/>
      <c r="DF24" s="26"/>
      <c r="DG24" s="26"/>
      <c r="DH24" s="26"/>
      <c r="DI24" s="26"/>
      <c r="DJ24" s="26"/>
      <c r="DK24" s="26"/>
      <c r="DL24" s="26"/>
      <c r="DM24" s="26"/>
      <c r="DN24" s="26"/>
      <c r="DO24" s="26"/>
      <c r="DP24" s="26"/>
      <c r="DQ24" s="26"/>
      <c r="DR24" s="26"/>
      <c r="DS24" s="26"/>
      <c r="DT24" s="26"/>
      <c r="DU24" s="26"/>
      <c r="DV24" s="26"/>
      <c r="DW24" s="26"/>
      <c r="DX24" s="26"/>
      <c r="DY24" s="26"/>
      <c r="DZ24" s="26"/>
      <c r="EA24" s="26"/>
      <c r="EB24" s="26"/>
      <c r="EC24" s="26"/>
      <c r="ED24" s="26"/>
      <c r="EE24" s="26"/>
      <c r="EF24" s="26"/>
    </row>
    <row r="25" spans="2:136" s="9" customFormat="1">
      <c r="B25" s="37" t="s">
        <v>342</v>
      </c>
      <c r="C25" s="108">
        <v>14116</v>
      </c>
      <c r="D25" s="17" t="s">
        <v>9</v>
      </c>
      <c r="E25" s="38" t="s">
        <v>152</v>
      </c>
      <c r="F25" s="39"/>
      <c r="G25" s="39"/>
      <c r="H25" s="39"/>
      <c r="I25" s="40"/>
      <c r="J25" s="200" t="s">
        <v>117</v>
      </c>
      <c r="M25" s="26"/>
      <c r="N25" s="26"/>
      <c r="O25" s="26"/>
      <c r="P25" s="26"/>
      <c r="Q25" s="26"/>
      <c r="R25" s="26"/>
      <c r="S25" s="26"/>
      <c r="T25" s="26"/>
      <c r="U25" s="26"/>
      <c r="V25" s="26"/>
      <c r="W25" s="26"/>
      <c r="X25" s="26"/>
      <c r="Y25" s="26"/>
      <c r="Z25" s="26"/>
      <c r="AA25" s="26"/>
      <c r="AB25" s="26"/>
      <c r="AC25" s="26"/>
      <c r="AD25" s="26"/>
      <c r="AE25" s="26"/>
      <c r="AF25" s="26"/>
      <c r="AG25" s="26"/>
      <c r="AH25" s="26"/>
      <c r="AI25" s="26"/>
      <c r="AJ25" s="26"/>
      <c r="AK25" s="26"/>
      <c r="AL25" s="100"/>
      <c r="AM25" s="100"/>
      <c r="AN25" s="100"/>
      <c r="AO25" s="100"/>
      <c r="AP25" s="100"/>
      <c r="AQ25" s="100"/>
      <c r="AR25" s="100"/>
      <c r="AS25" s="100"/>
      <c r="AT25" s="100"/>
      <c r="AU25" s="100"/>
      <c r="AV25" s="100"/>
      <c r="AW25" s="100"/>
      <c r="AX25" s="100"/>
      <c r="AY25" s="100"/>
      <c r="AZ25" s="100"/>
      <c r="BA25" s="100"/>
      <c r="BB25" s="100"/>
      <c r="BC25" s="100"/>
      <c r="BD25" s="100"/>
      <c r="BE25" s="100"/>
      <c r="BF25" s="100"/>
      <c r="BG25" s="100"/>
      <c r="BH25" s="100"/>
      <c r="BI25" s="100"/>
      <c r="BJ25" s="100"/>
      <c r="BK25" s="100"/>
      <c r="BL25" s="100"/>
      <c r="BM25" s="100"/>
      <c r="BN25" s="100"/>
      <c r="BO25" s="100"/>
      <c r="BP25" s="100"/>
      <c r="BQ25" s="100"/>
      <c r="BR25" s="100"/>
      <c r="BS25" s="100"/>
      <c r="BT25" s="26"/>
      <c r="BU25" s="26"/>
      <c r="BV25" s="26"/>
      <c r="BW25" s="26"/>
      <c r="BX25" s="26"/>
      <c r="BY25" s="26"/>
      <c r="BZ25" s="26"/>
      <c r="CA25" s="26"/>
      <c r="CB25" s="26"/>
      <c r="CC25" s="26"/>
      <c r="CD25" s="26"/>
      <c r="CE25" s="26"/>
      <c r="CF25" s="26"/>
      <c r="CG25" s="26"/>
      <c r="CH25" s="26"/>
      <c r="CI25" s="26"/>
      <c r="CJ25" s="26"/>
      <c r="CK25" s="26"/>
      <c r="CL25" s="26"/>
      <c r="CM25" s="26"/>
      <c r="CN25" s="26"/>
      <c r="CO25" s="26"/>
      <c r="CP25" s="26"/>
      <c r="CQ25" s="26"/>
      <c r="CR25" s="26"/>
      <c r="CS25" s="26"/>
      <c r="CT25" s="26"/>
      <c r="CU25" s="26"/>
      <c r="CV25" s="26"/>
      <c r="CW25" s="26"/>
      <c r="CX25" s="26"/>
      <c r="CY25" s="26"/>
      <c r="CZ25" s="26"/>
      <c r="DA25" s="26"/>
      <c r="DB25" s="26"/>
      <c r="DC25" s="26"/>
      <c r="DD25" s="26"/>
      <c r="DE25" s="26"/>
      <c r="DF25" s="26"/>
      <c r="DG25" s="26"/>
      <c r="DH25" s="26"/>
      <c r="DI25" s="26"/>
      <c r="DJ25" s="26"/>
      <c r="DK25" s="26"/>
      <c r="DL25" s="26"/>
      <c r="DM25" s="26"/>
      <c r="DN25" s="26"/>
      <c r="DO25" s="26"/>
      <c r="DP25" s="26"/>
      <c r="DQ25" s="26"/>
      <c r="DR25" s="26"/>
      <c r="DS25" s="26"/>
      <c r="DT25" s="26"/>
      <c r="DU25" s="26"/>
      <c r="DV25" s="26"/>
      <c r="DW25" s="26"/>
      <c r="DX25" s="26"/>
      <c r="DY25" s="26"/>
      <c r="DZ25" s="26"/>
      <c r="EA25" s="26"/>
      <c r="EB25" s="26"/>
      <c r="EC25" s="26"/>
      <c r="ED25" s="26"/>
      <c r="EE25" s="26"/>
      <c r="EF25" s="26"/>
    </row>
    <row r="26" spans="2:136" s="9" customFormat="1">
      <c r="B26" s="14" t="s">
        <v>344</v>
      </c>
      <c r="C26" s="109">
        <v>2823.2959999999998</v>
      </c>
      <c r="D26" s="15" t="s">
        <v>131</v>
      </c>
      <c r="E26" s="23" t="s">
        <v>154</v>
      </c>
      <c r="F26" s="24"/>
      <c r="G26" s="24"/>
      <c r="H26" s="24"/>
      <c r="I26" s="25"/>
      <c r="J26" s="201"/>
      <c r="M26" s="26"/>
      <c r="N26" s="26"/>
      <c r="O26" s="26"/>
      <c r="P26" s="26"/>
      <c r="Q26" s="26"/>
      <c r="R26" s="26"/>
      <c r="S26" s="26"/>
      <c r="T26" s="26"/>
      <c r="U26" s="26"/>
      <c r="V26" s="26"/>
      <c r="W26" s="26"/>
      <c r="X26" s="26"/>
      <c r="Y26" s="26"/>
      <c r="Z26" s="26"/>
      <c r="AA26" s="26"/>
      <c r="AB26" s="26"/>
      <c r="AC26" s="26"/>
      <c r="AD26" s="26"/>
      <c r="AE26" s="26"/>
      <c r="AF26" s="26"/>
      <c r="AG26" s="26"/>
      <c r="AH26" s="26"/>
      <c r="AI26" s="26"/>
      <c r="AJ26" s="26"/>
      <c r="AK26" s="26"/>
      <c r="AL26" s="100"/>
      <c r="AM26" s="100"/>
      <c r="AN26" s="100"/>
      <c r="AO26" s="100"/>
      <c r="AP26" s="100"/>
      <c r="AQ26" s="100"/>
      <c r="AR26" s="100"/>
      <c r="AS26" s="100"/>
      <c r="AT26" s="100"/>
      <c r="AU26" s="100"/>
      <c r="AV26" s="100"/>
      <c r="AW26" s="100"/>
      <c r="AX26" s="100"/>
      <c r="AY26" s="100"/>
      <c r="AZ26" s="100"/>
      <c r="BA26" s="100"/>
      <c r="BB26" s="100"/>
      <c r="BC26" s="100"/>
      <c r="BD26" s="100"/>
      <c r="BE26" s="100"/>
      <c r="BF26" s="100"/>
      <c r="BG26" s="100"/>
      <c r="BH26" s="100"/>
      <c r="BI26" s="100"/>
      <c r="BJ26" s="100"/>
      <c r="BK26" s="100"/>
      <c r="BL26" s="100"/>
      <c r="BM26" s="100"/>
      <c r="BN26" s="100"/>
      <c r="BO26" s="100"/>
      <c r="BP26" s="100"/>
      <c r="BQ26" s="100"/>
      <c r="BR26" s="100"/>
      <c r="BS26" s="100"/>
      <c r="BT26" s="26"/>
      <c r="BU26" s="26"/>
      <c r="BV26" s="26"/>
      <c r="BW26" s="26"/>
      <c r="BX26" s="26"/>
      <c r="BY26" s="26"/>
      <c r="BZ26" s="26"/>
      <c r="CA26" s="26"/>
      <c r="CB26" s="26"/>
      <c r="CC26" s="26"/>
      <c r="CD26" s="26"/>
      <c r="CE26" s="26"/>
      <c r="CF26" s="26"/>
      <c r="CG26" s="26"/>
      <c r="CH26" s="26"/>
      <c r="CI26" s="26"/>
      <c r="CJ26" s="26"/>
      <c r="CK26" s="26"/>
      <c r="CL26" s="26"/>
      <c r="CM26" s="26"/>
      <c r="CN26" s="26"/>
      <c r="CO26" s="26"/>
      <c r="CP26" s="26"/>
      <c r="CQ26" s="26"/>
      <c r="CR26" s="26"/>
      <c r="CS26" s="26"/>
      <c r="CT26" s="26"/>
      <c r="CU26" s="26"/>
      <c r="CV26" s="26"/>
      <c r="CW26" s="26"/>
      <c r="CX26" s="26"/>
      <c r="CY26" s="26"/>
      <c r="CZ26" s="26"/>
      <c r="DA26" s="26"/>
      <c r="DB26" s="26"/>
      <c r="DC26" s="26"/>
      <c r="DD26" s="26"/>
      <c r="DE26" s="26"/>
      <c r="DF26" s="26"/>
      <c r="DG26" s="26"/>
      <c r="DH26" s="26"/>
      <c r="DI26" s="26"/>
      <c r="DJ26" s="26"/>
      <c r="DK26" s="26"/>
      <c r="DL26" s="26"/>
      <c r="DM26" s="26"/>
      <c r="DN26" s="26"/>
      <c r="DO26" s="26"/>
      <c r="DP26" s="26"/>
      <c r="DQ26" s="26"/>
      <c r="DR26" s="26"/>
      <c r="DS26" s="26"/>
      <c r="DT26" s="26"/>
      <c r="DU26" s="26"/>
      <c r="DV26" s="26"/>
      <c r="DW26" s="26"/>
      <c r="DX26" s="26"/>
      <c r="DY26" s="26"/>
      <c r="DZ26" s="26"/>
      <c r="EA26" s="26"/>
      <c r="EB26" s="26"/>
      <c r="EC26" s="26"/>
      <c r="ED26" s="26"/>
      <c r="EE26" s="26"/>
      <c r="EF26" s="26"/>
    </row>
    <row r="27" spans="2:136" s="9" customFormat="1">
      <c r="B27" s="14" t="s">
        <v>138</v>
      </c>
      <c r="C27" s="153">
        <v>140</v>
      </c>
      <c r="D27" s="15" t="s">
        <v>10</v>
      </c>
      <c r="E27" s="23" t="s">
        <v>139</v>
      </c>
      <c r="F27" s="24"/>
      <c r="G27" s="24"/>
      <c r="H27" s="24"/>
      <c r="I27" s="25"/>
      <c r="J27" s="201"/>
      <c r="M27" s="26"/>
      <c r="N27" s="26"/>
      <c r="O27" s="26"/>
      <c r="P27" s="26"/>
      <c r="Q27" s="26"/>
      <c r="R27" s="26"/>
      <c r="S27" s="26"/>
      <c r="T27" s="26"/>
      <c r="U27" s="26"/>
      <c r="V27" s="26"/>
      <c r="W27" s="26"/>
      <c r="X27" s="26"/>
      <c r="Y27" s="26"/>
      <c r="Z27" s="26"/>
      <c r="AA27" s="26"/>
      <c r="AB27" s="26"/>
      <c r="AC27" s="26"/>
      <c r="AD27" s="26"/>
      <c r="AE27" s="26"/>
      <c r="AF27" s="26"/>
      <c r="AG27" s="26"/>
      <c r="AH27" s="26"/>
      <c r="AI27" s="26"/>
      <c r="AJ27" s="26"/>
      <c r="AK27" s="26"/>
      <c r="AL27" s="100"/>
      <c r="AM27" s="100"/>
      <c r="AN27" s="100"/>
      <c r="AO27" s="100"/>
      <c r="AP27" s="100"/>
      <c r="AQ27" s="100"/>
      <c r="AR27" s="100"/>
      <c r="AS27" s="100"/>
      <c r="AT27" s="100"/>
      <c r="AU27" s="100"/>
      <c r="AV27" s="100"/>
      <c r="AW27" s="100"/>
      <c r="AX27" s="100"/>
      <c r="AY27" s="100"/>
      <c r="AZ27" s="100"/>
      <c r="BA27" s="100"/>
      <c r="BB27" s="100"/>
      <c r="BC27" s="100"/>
      <c r="BD27" s="100"/>
      <c r="BE27" s="100"/>
      <c r="BF27" s="100"/>
      <c r="BG27" s="100"/>
      <c r="BH27" s="100"/>
      <c r="BI27" s="100"/>
      <c r="BJ27" s="100"/>
      <c r="BK27" s="100"/>
      <c r="BL27" s="100"/>
      <c r="BM27" s="100"/>
      <c r="BN27" s="100"/>
      <c r="BO27" s="100"/>
      <c r="BP27" s="100"/>
      <c r="BQ27" s="100"/>
      <c r="BR27" s="100"/>
      <c r="BS27" s="100"/>
      <c r="BT27" s="26"/>
      <c r="BU27" s="26"/>
      <c r="BV27" s="26"/>
      <c r="BW27" s="26"/>
      <c r="BX27" s="26"/>
      <c r="BY27" s="26"/>
      <c r="BZ27" s="26"/>
      <c r="CA27" s="26"/>
      <c r="CB27" s="26"/>
      <c r="CC27" s="26"/>
      <c r="CD27" s="26"/>
      <c r="CE27" s="26"/>
      <c r="CF27" s="26"/>
      <c r="CG27" s="26"/>
      <c r="CH27" s="26"/>
      <c r="CI27" s="26"/>
      <c r="CJ27" s="26"/>
      <c r="CK27" s="26"/>
      <c r="CL27" s="26"/>
      <c r="CM27" s="26"/>
      <c r="CN27" s="26"/>
      <c r="CO27" s="26"/>
      <c r="CP27" s="26"/>
      <c r="CQ27" s="26"/>
      <c r="CR27" s="26"/>
      <c r="CS27" s="26"/>
      <c r="CT27" s="26"/>
      <c r="CU27" s="26"/>
      <c r="CV27" s="26"/>
      <c r="CW27" s="26"/>
      <c r="CX27" s="26"/>
      <c r="CY27" s="26"/>
      <c r="CZ27" s="26"/>
      <c r="DA27" s="26"/>
      <c r="DB27" s="26"/>
      <c r="DC27" s="26"/>
      <c r="DD27" s="26"/>
      <c r="DE27" s="26"/>
      <c r="DF27" s="26"/>
      <c r="DG27" s="26"/>
      <c r="DH27" s="26"/>
      <c r="DI27" s="26"/>
      <c r="DJ27" s="26"/>
      <c r="DK27" s="26"/>
      <c r="DL27" s="26"/>
      <c r="DM27" s="26"/>
      <c r="DN27" s="26"/>
      <c r="DO27" s="26"/>
      <c r="DP27" s="26"/>
      <c r="DQ27" s="26"/>
      <c r="DR27" s="26"/>
      <c r="DS27" s="26"/>
      <c r="DT27" s="26"/>
      <c r="DU27" s="26"/>
      <c r="DV27" s="26"/>
      <c r="DW27" s="26"/>
      <c r="DX27" s="26"/>
      <c r="DY27" s="26"/>
      <c r="DZ27" s="26"/>
      <c r="EA27" s="26"/>
      <c r="EB27" s="26"/>
      <c r="EC27" s="26"/>
      <c r="ED27" s="26"/>
      <c r="EE27" s="26"/>
      <c r="EF27" s="26"/>
    </row>
    <row r="28" spans="2:136" s="9" customFormat="1">
      <c r="B28" s="14" t="s">
        <v>134</v>
      </c>
      <c r="C28" s="109">
        <v>247</v>
      </c>
      <c r="D28" s="15" t="s">
        <v>10</v>
      </c>
      <c r="E28" s="23" t="s">
        <v>137</v>
      </c>
      <c r="F28" s="24"/>
      <c r="G28" s="24"/>
      <c r="H28" s="24"/>
      <c r="I28" s="25"/>
      <c r="J28" s="201"/>
      <c r="M28" s="26"/>
      <c r="N28" s="26"/>
      <c r="O28" s="26"/>
      <c r="P28" s="26"/>
      <c r="Q28" s="26"/>
      <c r="R28" s="26"/>
      <c r="S28" s="26"/>
      <c r="T28" s="26"/>
      <c r="U28" s="26"/>
      <c r="V28" s="26"/>
      <c r="W28" s="26"/>
      <c r="X28" s="26"/>
      <c r="Y28" s="26"/>
      <c r="Z28" s="26"/>
      <c r="AA28" s="26"/>
      <c r="AB28" s="26"/>
      <c r="AC28" s="26"/>
      <c r="AD28" s="26"/>
      <c r="AE28" s="26"/>
      <c r="AF28" s="26"/>
      <c r="AG28" s="26"/>
      <c r="AH28" s="26"/>
      <c r="AI28" s="26"/>
      <c r="AJ28" s="26"/>
      <c r="AK28" s="26"/>
      <c r="AL28" s="100"/>
      <c r="AM28" s="100"/>
      <c r="AN28" s="100"/>
      <c r="AO28" s="100"/>
      <c r="AP28" s="100"/>
      <c r="AQ28" s="100"/>
      <c r="AR28" s="100"/>
      <c r="AS28" s="100"/>
      <c r="AT28" s="100"/>
      <c r="AU28" s="100"/>
      <c r="AV28" s="100"/>
      <c r="AW28" s="100"/>
      <c r="AX28" s="100"/>
      <c r="AY28" s="100"/>
      <c r="AZ28" s="100"/>
      <c r="BA28" s="100"/>
      <c r="BB28" s="100"/>
      <c r="BC28" s="100"/>
      <c r="BD28" s="100"/>
      <c r="BE28" s="100"/>
      <c r="BF28" s="100"/>
      <c r="BG28" s="100"/>
      <c r="BH28" s="100"/>
      <c r="BI28" s="100"/>
      <c r="BJ28" s="100"/>
      <c r="BK28" s="100"/>
      <c r="BL28" s="100"/>
      <c r="BM28" s="100"/>
      <c r="BN28" s="100"/>
      <c r="BO28" s="100"/>
      <c r="BP28" s="100"/>
      <c r="BQ28" s="100"/>
      <c r="BR28" s="100"/>
      <c r="BS28" s="100"/>
      <c r="BT28" s="26"/>
      <c r="BU28" s="26"/>
      <c r="BV28" s="26"/>
      <c r="BW28" s="26"/>
      <c r="BX28" s="26"/>
      <c r="BY28" s="26"/>
      <c r="BZ28" s="26"/>
      <c r="CA28" s="26"/>
      <c r="CB28" s="26"/>
      <c r="CC28" s="26"/>
      <c r="CD28" s="26"/>
      <c r="CE28" s="26"/>
      <c r="CF28" s="26"/>
      <c r="CG28" s="26"/>
      <c r="CH28" s="26"/>
      <c r="CI28" s="26"/>
      <c r="CJ28" s="26"/>
      <c r="CK28" s="26"/>
      <c r="CL28" s="26"/>
      <c r="CM28" s="26"/>
      <c r="CN28" s="26"/>
      <c r="CO28" s="26"/>
      <c r="CP28" s="26"/>
      <c r="CQ28" s="26"/>
      <c r="CR28" s="26"/>
      <c r="CS28" s="26"/>
      <c r="CT28" s="26"/>
      <c r="CU28" s="26"/>
      <c r="CV28" s="26"/>
      <c r="CW28" s="26"/>
      <c r="CX28" s="26"/>
      <c r="CY28" s="26"/>
      <c r="CZ28" s="26"/>
      <c r="DA28" s="26"/>
      <c r="DB28" s="26"/>
      <c r="DC28" s="26"/>
      <c r="DD28" s="26"/>
      <c r="DE28" s="26"/>
      <c r="DF28" s="26"/>
      <c r="DG28" s="26"/>
      <c r="DH28" s="26"/>
      <c r="DI28" s="26"/>
      <c r="DJ28" s="26"/>
      <c r="DK28" s="26"/>
      <c r="DL28" s="26"/>
      <c r="DM28" s="26"/>
      <c r="DN28" s="26"/>
      <c r="DO28" s="26"/>
      <c r="DP28" s="26"/>
      <c r="DQ28" s="26"/>
      <c r="DR28" s="26"/>
      <c r="DS28" s="26"/>
      <c r="DT28" s="26"/>
      <c r="DU28" s="26"/>
      <c r="DV28" s="26"/>
      <c r="DW28" s="26"/>
      <c r="DX28" s="26"/>
      <c r="DY28" s="26"/>
      <c r="DZ28" s="26"/>
      <c r="EA28" s="26"/>
      <c r="EB28" s="26"/>
      <c r="EC28" s="26"/>
      <c r="ED28" s="26"/>
      <c r="EE28" s="26"/>
      <c r="EF28" s="26"/>
    </row>
    <row r="29" spans="2:136" s="9" customFormat="1">
      <c r="B29" s="14" t="s">
        <v>144</v>
      </c>
      <c r="C29" s="183" t="s">
        <v>150</v>
      </c>
      <c r="D29" s="184"/>
      <c r="E29" s="23" t="s">
        <v>146</v>
      </c>
      <c r="F29" s="24"/>
      <c r="G29" s="24"/>
      <c r="H29" s="24"/>
      <c r="I29" s="25"/>
      <c r="J29" s="201"/>
      <c r="M29" s="26"/>
      <c r="N29" s="26"/>
      <c r="O29" s="26"/>
      <c r="P29" s="26"/>
      <c r="Q29" s="26"/>
      <c r="R29" s="26"/>
      <c r="S29" s="26"/>
      <c r="T29" s="26"/>
      <c r="U29" s="26"/>
      <c r="V29" s="26"/>
      <c r="W29" s="26"/>
      <c r="X29" s="26"/>
      <c r="Y29" s="26"/>
      <c r="Z29" s="26"/>
      <c r="AA29" s="26"/>
      <c r="AB29" s="26"/>
      <c r="AC29" s="26"/>
      <c r="AD29" s="26"/>
      <c r="AE29" s="26"/>
      <c r="AF29" s="26"/>
      <c r="AG29" s="26"/>
      <c r="AH29" s="26"/>
      <c r="AI29" s="26"/>
      <c r="AJ29" s="26"/>
      <c r="AK29" s="26"/>
      <c r="AL29" s="100"/>
      <c r="AM29" s="100"/>
      <c r="AN29" s="100"/>
      <c r="AO29" s="100"/>
      <c r="AP29" s="100"/>
      <c r="AQ29" s="100"/>
      <c r="AR29" s="100"/>
      <c r="AS29" s="100"/>
      <c r="AT29" s="100"/>
      <c r="AU29" s="100"/>
      <c r="AV29" s="100"/>
      <c r="AW29" s="100"/>
      <c r="AX29" s="100"/>
      <c r="AY29" s="100"/>
      <c r="AZ29" s="100"/>
      <c r="BA29" s="100"/>
      <c r="BB29" s="100"/>
      <c r="BC29" s="100"/>
      <c r="BD29" s="100"/>
      <c r="BE29" s="100"/>
      <c r="BF29" s="100"/>
      <c r="BG29" s="100"/>
      <c r="BH29" s="100"/>
      <c r="BI29" s="100"/>
      <c r="BJ29" s="100"/>
      <c r="BK29" s="100"/>
      <c r="BL29" s="100"/>
      <c r="BM29" s="100"/>
      <c r="BN29" s="100"/>
      <c r="BO29" s="100"/>
      <c r="BP29" s="100"/>
      <c r="BQ29" s="100"/>
      <c r="BR29" s="100"/>
      <c r="BS29" s="100"/>
      <c r="BT29" s="26"/>
      <c r="BU29" s="26"/>
      <c r="BV29" s="26"/>
      <c r="BW29" s="26"/>
      <c r="BX29" s="26"/>
      <c r="BY29" s="26"/>
      <c r="BZ29" s="26"/>
      <c r="CA29" s="26"/>
      <c r="CB29" s="26"/>
      <c r="CC29" s="26"/>
      <c r="CD29" s="26"/>
      <c r="CE29" s="26"/>
      <c r="CF29" s="26"/>
      <c r="CG29" s="26"/>
      <c r="CH29" s="26"/>
      <c r="CI29" s="26"/>
      <c r="CJ29" s="26"/>
      <c r="CK29" s="26"/>
      <c r="CL29" s="26"/>
      <c r="CM29" s="26"/>
      <c r="CN29" s="26"/>
      <c r="CO29" s="26"/>
      <c r="CP29" s="26"/>
      <c r="CQ29" s="26"/>
      <c r="CR29" s="26"/>
      <c r="CS29" s="26"/>
      <c r="CT29" s="26"/>
      <c r="CU29" s="26"/>
      <c r="CV29" s="26"/>
      <c r="CW29" s="26"/>
      <c r="CX29" s="26"/>
      <c r="CY29" s="26"/>
      <c r="CZ29" s="26"/>
      <c r="DA29" s="26"/>
      <c r="DB29" s="26"/>
      <c r="DC29" s="26"/>
      <c r="DD29" s="26"/>
      <c r="DE29" s="26"/>
      <c r="DF29" s="26"/>
      <c r="DG29" s="26"/>
      <c r="DH29" s="26"/>
      <c r="DI29" s="26"/>
      <c r="DJ29" s="26"/>
      <c r="DK29" s="26"/>
      <c r="DL29" s="26"/>
      <c r="DM29" s="26"/>
      <c r="DN29" s="26"/>
      <c r="DO29" s="26"/>
      <c r="DP29" s="26"/>
      <c r="DQ29" s="26"/>
      <c r="DR29" s="26"/>
      <c r="DS29" s="26"/>
      <c r="DT29" s="26"/>
      <c r="DU29" s="26"/>
      <c r="DV29" s="26"/>
      <c r="DW29" s="26"/>
      <c r="DX29" s="26"/>
      <c r="DY29" s="26"/>
      <c r="DZ29" s="26"/>
      <c r="EA29" s="26"/>
      <c r="EB29" s="26"/>
      <c r="EC29" s="26"/>
      <c r="ED29" s="26"/>
      <c r="EE29" s="26"/>
      <c r="EF29" s="26"/>
    </row>
    <row r="30" spans="2:136" s="9" customFormat="1">
      <c r="B30" s="14" t="s">
        <v>176</v>
      </c>
      <c r="C30" s="35">
        <f>IF(C29="","",INDEX($AS$36:$AS$38,MATCH(C29,$AR$36:$AR$38,0)))</f>
        <v>0.82</v>
      </c>
      <c r="D30" s="15" t="s">
        <v>5</v>
      </c>
      <c r="E30" s="23" t="s">
        <v>179</v>
      </c>
      <c r="F30" s="24"/>
      <c r="G30" s="24"/>
      <c r="H30" s="24"/>
      <c r="I30" s="25"/>
      <c r="J30" s="201"/>
      <c r="M30" s="26"/>
      <c r="N30" s="26"/>
      <c r="O30" s="26"/>
      <c r="P30" s="26"/>
      <c r="Q30" s="26"/>
      <c r="R30" s="26"/>
      <c r="S30" s="26"/>
      <c r="T30" s="26"/>
      <c r="U30" s="26"/>
      <c r="V30" s="26"/>
      <c r="W30" s="26"/>
      <c r="X30" s="26"/>
      <c r="Y30" s="26"/>
      <c r="Z30" s="26"/>
      <c r="AA30" s="26"/>
      <c r="AB30" s="26"/>
      <c r="AC30" s="26"/>
      <c r="AD30" s="26"/>
      <c r="AE30" s="26"/>
      <c r="AF30" s="26"/>
      <c r="AG30" s="26"/>
      <c r="AH30" s="26"/>
      <c r="AI30" s="26"/>
      <c r="AJ30" s="26"/>
      <c r="AK30" s="26"/>
      <c r="AL30" s="100"/>
      <c r="AM30" s="100"/>
      <c r="AN30" s="100"/>
      <c r="AO30" s="100"/>
      <c r="AP30" s="100"/>
      <c r="AQ30" s="100"/>
      <c r="AR30" s="100"/>
      <c r="AS30" s="100"/>
      <c r="AT30" s="100"/>
      <c r="AU30" s="100"/>
      <c r="AV30" s="100"/>
      <c r="AW30" s="100"/>
      <c r="AX30" s="100"/>
      <c r="AY30" s="100"/>
      <c r="AZ30" s="100"/>
      <c r="BA30" s="100"/>
      <c r="BB30" s="100"/>
      <c r="BC30" s="100"/>
      <c r="BD30" s="100"/>
      <c r="BE30" s="100"/>
      <c r="BF30" s="100"/>
      <c r="BG30" s="100"/>
      <c r="BH30" s="100"/>
      <c r="BI30" s="100"/>
      <c r="BJ30" s="100"/>
      <c r="BK30" s="100"/>
      <c r="BL30" s="100"/>
      <c r="BM30" s="100"/>
      <c r="BN30" s="100"/>
      <c r="BO30" s="100"/>
      <c r="BP30" s="100"/>
      <c r="BQ30" s="100"/>
      <c r="BR30" s="100"/>
      <c r="BS30" s="100"/>
      <c r="BT30" s="26"/>
      <c r="BU30" s="26"/>
      <c r="BV30" s="26"/>
      <c r="BW30" s="26"/>
      <c r="BX30" s="26"/>
      <c r="BY30" s="26"/>
      <c r="BZ30" s="26"/>
      <c r="CA30" s="26"/>
      <c r="CB30" s="26"/>
      <c r="CC30" s="26"/>
      <c r="CD30" s="26"/>
      <c r="CE30" s="26"/>
      <c r="CF30" s="26"/>
      <c r="CG30" s="26"/>
      <c r="CH30" s="26"/>
      <c r="CI30" s="26"/>
      <c r="CJ30" s="26"/>
      <c r="CK30" s="26"/>
      <c r="CL30" s="26"/>
      <c r="CM30" s="26"/>
      <c r="CN30" s="26"/>
      <c r="CO30" s="26"/>
      <c r="CP30" s="26"/>
      <c r="CQ30" s="26"/>
      <c r="CR30" s="26"/>
      <c r="CS30" s="26"/>
      <c r="CT30" s="26"/>
      <c r="CU30" s="26"/>
      <c r="CV30" s="26"/>
      <c r="CW30" s="26"/>
      <c r="CX30" s="26"/>
      <c r="CY30" s="26"/>
      <c r="CZ30" s="26"/>
      <c r="DA30" s="26"/>
      <c r="DB30" s="26"/>
      <c r="DC30" s="26"/>
      <c r="DD30" s="26"/>
      <c r="DE30" s="26"/>
      <c r="DF30" s="26"/>
      <c r="DG30" s="26"/>
      <c r="DH30" s="26"/>
      <c r="DI30" s="26"/>
      <c r="DJ30" s="26"/>
      <c r="DK30" s="26"/>
      <c r="DL30" s="26"/>
      <c r="DM30" s="26"/>
      <c r="DN30" s="26"/>
      <c r="DO30" s="26"/>
      <c r="DP30" s="26"/>
      <c r="DQ30" s="26"/>
      <c r="DR30" s="26"/>
      <c r="DS30" s="26"/>
      <c r="DT30" s="26"/>
      <c r="DU30" s="26"/>
      <c r="DV30" s="26"/>
      <c r="DW30" s="26"/>
      <c r="DX30" s="26"/>
      <c r="DY30" s="26"/>
      <c r="DZ30" s="26"/>
      <c r="EA30" s="26"/>
      <c r="EB30" s="26"/>
      <c r="EC30" s="26"/>
      <c r="ED30" s="26"/>
      <c r="EE30" s="26"/>
      <c r="EF30" s="26"/>
    </row>
    <row r="31" spans="2:136" s="9" customFormat="1">
      <c r="B31" s="14" t="s">
        <v>141</v>
      </c>
      <c r="C31" s="153">
        <v>90</v>
      </c>
      <c r="D31" s="15" t="s">
        <v>143</v>
      </c>
      <c r="E31" s="23" t="s">
        <v>476</v>
      </c>
      <c r="F31" s="24"/>
      <c r="G31" s="24"/>
      <c r="H31" s="24"/>
      <c r="I31" s="25"/>
      <c r="J31" s="201"/>
      <c r="M31" s="26"/>
      <c r="N31" s="26"/>
      <c r="O31" s="26"/>
      <c r="P31" s="26"/>
      <c r="Q31" s="26"/>
      <c r="R31" s="26"/>
      <c r="S31" s="26"/>
      <c r="T31" s="26"/>
      <c r="U31" s="26"/>
      <c r="V31" s="26"/>
      <c r="W31" s="26"/>
      <c r="X31" s="26"/>
      <c r="Y31" s="26"/>
      <c r="Z31" s="26"/>
      <c r="AA31" s="26"/>
      <c r="AB31" s="26"/>
      <c r="AC31" s="26"/>
      <c r="AD31" s="26"/>
      <c r="AE31" s="26"/>
      <c r="AF31" s="26"/>
      <c r="AG31" s="26"/>
      <c r="AH31" s="26"/>
      <c r="AI31" s="26"/>
      <c r="AJ31" s="26"/>
      <c r="AK31" s="26"/>
      <c r="AL31" s="100"/>
      <c r="AM31" s="100"/>
      <c r="AN31" s="100"/>
      <c r="AO31" s="100"/>
      <c r="AP31" s="100"/>
      <c r="AQ31" s="100"/>
      <c r="AR31" s="100"/>
      <c r="AS31" s="100"/>
      <c r="AT31" s="100"/>
      <c r="AU31" s="100"/>
      <c r="AV31" s="100"/>
      <c r="AW31" s="100"/>
      <c r="AX31" s="100"/>
      <c r="AY31" s="100"/>
      <c r="AZ31" s="100"/>
      <c r="BA31" s="100"/>
      <c r="BB31" s="100"/>
      <c r="BC31" s="100"/>
      <c r="BD31" s="100"/>
      <c r="BE31" s="100"/>
      <c r="BF31" s="100"/>
      <c r="BG31" s="100"/>
      <c r="BH31" s="100"/>
      <c r="BI31" s="100"/>
      <c r="BJ31" s="100"/>
      <c r="BK31" s="100"/>
      <c r="BL31" s="100"/>
      <c r="BM31" s="100"/>
      <c r="BN31" s="100"/>
      <c r="BO31" s="100"/>
      <c r="BP31" s="100"/>
      <c r="BQ31" s="100"/>
      <c r="BR31" s="100"/>
      <c r="BS31" s="100"/>
      <c r="BT31" s="26"/>
      <c r="BU31" s="26"/>
      <c r="BV31" s="26"/>
      <c r="BW31" s="26"/>
      <c r="BX31" s="26"/>
      <c r="BY31" s="26"/>
      <c r="BZ31" s="26"/>
      <c r="CA31" s="26"/>
      <c r="CB31" s="26"/>
      <c r="CC31" s="26"/>
      <c r="CD31" s="26"/>
      <c r="CE31" s="26"/>
      <c r="CF31" s="26"/>
      <c r="CG31" s="26"/>
      <c r="CH31" s="26"/>
      <c r="CI31" s="26"/>
      <c r="CJ31" s="26"/>
      <c r="CK31" s="26"/>
      <c r="CL31" s="26"/>
      <c r="CM31" s="26"/>
      <c r="CN31" s="26"/>
      <c r="CO31" s="26"/>
      <c r="CP31" s="26"/>
      <c r="CQ31" s="26"/>
      <c r="CR31" s="26"/>
      <c r="CS31" s="26"/>
      <c r="CT31" s="26"/>
      <c r="CU31" s="26"/>
      <c r="CV31" s="26"/>
      <c r="CW31" s="26"/>
      <c r="CX31" s="26"/>
      <c r="CY31" s="26"/>
      <c r="CZ31" s="26"/>
      <c r="DA31" s="26"/>
      <c r="DB31" s="26"/>
      <c r="DC31" s="26"/>
      <c r="DD31" s="26"/>
      <c r="DE31" s="26"/>
      <c r="DF31" s="26"/>
      <c r="DG31" s="26"/>
      <c r="DH31" s="26"/>
      <c r="DI31" s="26"/>
      <c r="DJ31" s="26"/>
      <c r="DK31" s="26"/>
      <c r="DL31" s="26"/>
      <c r="DM31" s="26"/>
      <c r="DN31" s="26"/>
      <c r="DO31" s="26"/>
      <c r="DP31" s="26"/>
      <c r="DQ31" s="26"/>
      <c r="DR31" s="26"/>
      <c r="DS31" s="26"/>
      <c r="DT31" s="26"/>
      <c r="DU31" s="26"/>
      <c r="DV31" s="26"/>
      <c r="DW31" s="26"/>
      <c r="DX31" s="26"/>
      <c r="DY31" s="26"/>
      <c r="DZ31" s="26"/>
      <c r="EA31" s="26"/>
      <c r="EB31" s="26"/>
      <c r="EC31" s="26"/>
      <c r="ED31" s="26"/>
      <c r="EE31" s="26"/>
      <c r="EF31" s="26"/>
    </row>
    <row r="32" spans="2:136" s="9" customFormat="1">
      <c r="B32" s="14" t="s">
        <v>177</v>
      </c>
      <c r="C32" s="114">
        <f>IF(C31="","",(C31/90)^(0.13))</f>
        <v>1</v>
      </c>
      <c r="D32" s="15" t="s">
        <v>5</v>
      </c>
      <c r="E32" s="23" t="s">
        <v>180</v>
      </c>
      <c r="F32" s="24"/>
      <c r="G32" s="24"/>
      <c r="H32" s="24"/>
      <c r="I32" s="25"/>
      <c r="J32" s="201"/>
      <c r="M32" s="26"/>
      <c r="N32" s="26"/>
      <c r="O32" s="26"/>
      <c r="P32" s="26"/>
      <c r="Q32" s="26"/>
      <c r="R32" s="26"/>
      <c r="S32" s="26"/>
      <c r="T32" s="26"/>
      <c r="U32" s="26"/>
      <c r="V32" s="26"/>
      <c r="W32" s="26"/>
      <c r="X32" s="26"/>
      <c r="Y32" s="26"/>
      <c r="Z32" s="26"/>
      <c r="AA32" s="26"/>
      <c r="AB32" s="26"/>
      <c r="AC32" s="26"/>
      <c r="AD32" s="26"/>
      <c r="AE32" s="26"/>
      <c r="AF32" s="26"/>
      <c r="AG32" s="26"/>
      <c r="AH32" s="26"/>
      <c r="AI32" s="26"/>
      <c r="AJ32" s="26"/>
      <c r="AK32" s="26"/>
      <c r="AL32" s="100"/>
      <c r="AM32" s="100"/>
      <c r="AN32" s="100"/>
      <c r="AO32" s="100"/>
      <c r="AP32" s="100"/>
      <c r="AQ32" s="100"/>
      <c r="AR32" s="100"/>
      <c r="AS32" s="100"/>
      <c r="AT32" s="100"/>
      <c r="AU32" s="100"/>
      <c r="AV32" s="100"/>
      <c r="AW32" s="100"/>
      <c r="AX32" s="100"/>
      <c r="AY32" s="100"/>
      <c r="AZ32" s="100"/>
      <c r="BA32" s="100"/>
      <c r="BB32" s="100"/>
      <c r="BC32" s="100"/>
      <c r="BD32" s="100"/>
      <c r="BE32" s="100"/>
      <c r="BF32" s="100"/>
      <c r="BG32" s="100"/>
      <c r="BH32" s="100"/>
      <c r="BI32" s="100"/>
      <c r="BJ32" s="100"/>
      <c r="BK32" s="100"/>
      <c r="BL32" s="100"/>
      <c r="BM32" s="100"/>
      <c r="BN32" s="100"/>
      <c r="BO32" s="100"/>
      <c r="BP32" s="100"/>
      <c r="BQ32" s="100"/>
      <c r="BR32" s="100"/>
      <c r="BS32" s="100"/>
      <c r="BT32" s="26"/>
      <c r="BU32" s="26"/>
      <c r="BV32" s="26"/>
      <c r="BW32" s="26"/>
      <c r="BX32" s="26"/>
      <c r="BY32" s="26"/>
      <c r="BZ32" s="26"/>
      <c r="CA32" s="26"/>
      <c r="CB32" s="26"/>
      <c r="CC32" s="26"/>
      <c r="CD32" s="26"/>
      <c r="CE32" s="26"/>
      <c r="CF32" s="26"/>
      <c r="CG32" s="26"/>
      <c r="CH32" s="26"/>
      <c r="CI32" s="26"/>
      <c r="CJ32" s="26"/>
      <c r="CK32" s="26"/>
      <c r="CL32" s="26"/>
      <c r="CM32" s="26"/>
      <c r="CN32" s="26"/>
      <c r="CO32" s="26"/>
      <c r="CP32" s="26"/>
      <c r="CQ32" s="26"/>
      <c r="CR32" s="26"/>
      <c r="CS32" s="26"/>
      <c r="CT32" s="26"/>
      <c r="CU32" s="26"/>
      <c r="CV32" s="26"/>
      <c r="CW32" s="26"/>
      <c r="CX32" s="26"/>
      <c r="CY32" s="26"/>
      <c r="CZ32" s="26"/>
      <c r="DA32" s="26"/>
      <c r="DB32" s="26"/>
      <c r="DC32" s="26"/>
      <c r="DD32" s="26"/>
      <c r="DE32" s="26"/>
      <c r="DF32" s="26"/>
      <c r="DG32" s="26"/>
      <c r="DH32" s="26"/>
      <c r="DI32" s="26"/>
      <c r="DJ32" s="26"/>
      <c r="DK32" s="26"/>
      <c r="DL32" s="26"/>
      <c r="DM32" s="26"/>
      <c r="DN32" s="26"/>
      <c r="DO32" s="26"/>
      <c r="DP32" s="26"/>
      <c r="DQ32" s="26"/>
      <c r="DR32" s="26"/>
      <c r="DS32" s="26"/>
      <c r="DT32" s="26"/>
      <c r="DU32" s="26"/>
      <c r="DV32" s="26"/>
      <c r="DW32" s="26"/>
      <c r="DX32" s="26"/>
      <c r="DY32" s="26"/>
      <c r="DZ32" s="26"/>
      <c r="EA32" s="26"/>
      <c r="EB32" s="26"/>
      <c r="EC32" s="26"/>
      <c r="ED32" s="26"/>
      <c r="EE32" s="26"/>
      <c r="EF32" s="26"/>
    </row>
    <row r="33" spans="2:136" s="9" customFormat="1">
      <c r="B33" s="14" t="s">
        <v>158</v>
      </c>
      <c r="C33" s="109">
        <v>8.9600000000000009</v>
      </c>
      <c r="D33" s="15" t="s">
        <v>10</v>
      </c>
      <c r="E33" s="23" t="s">
        <v>160</v>
      </c>
      <c r="F33" s="24"/>
      <c r="G33" s="24"/>
      <c r="H33" s="24"/>
      <c r="I33" s="25"/>
      <c r="J33" s="201"/>
      <c r="M33" s="26"/>
      <c r="N33" s="26"/>
      <c r="O33" s="26"/>
      <c r="P33" s="26"/>
      <c r="Q33" s="26"/>
      <c r="R33" s="26"/>
      <c r="S33" s="26"/>
      <c r="T33" s="26"/>
      <c r="U33" s="26"/>
      <c r="V33" s="26"/>
      <c r="W33" s="26"/>
      <c r="X33" s="26"/>
      <c r="Y33" s="26"/>
      <c r="Z33" s="26"/>
      <c r="AA33" s="26"/>
      <c r="AB33" s="26"/>
      <c r="AC33" s="26"/>
      <c r="AD33" s="26"/>
      <c r="AE33" s="26"/>
      <c r="AF33" s="26"/>
      <c r="AG33" s="26"/>
      <c r="AH33" s="26"/>
      <c r="AI33" s="26"/>
      <c r="AJ33" s="26"/>
      <c r="AK33" s="26"/>
      <c r="AL33" s="100"/>
      <c r="AM33" s="100"/>
      <c r="AN33" s="100"/>
      <c r="AO33" s="100"/>
      <c r="AP33" s="100"/>
      <c r="AQ33" s="100"/>
      <c r="AR33" s="100"/>
      <c r="AS33" s="100"/>
      <c r="AT33" s="100"/>
      <c r="AU33" s="100"/>
      <c r="AV33" s="100"/>
      <c r="AW33" s="100"/>
      <c r="AX33" s="100"/>
      <c r="AY33" s="100"/>
      <c r="AZ33" s="100"/>
      <c r="BA33" s="100"/>
      <c r="BB33" s="100"/>
      <c r="BC33" s="100"/>
      <c r="BD33" s="100"/>
      <c r="BE33" s="100"/>
      <c r="BF33" s="100"/>
      <c r="BG33" s="100"/>
      <c r="BH33" s="100"/>
      <c r="BI33" s="100"/>
      <c r="BJ33" s="100"/>
      <c r="BK33" s="100"/>
      <c r="BL33" s="100"/>
      <c r="BM33" s="100"/>
      <c r="BN33" s="100"/>
      <c r="BO33" s="100"/>
      <c r="BP33" s="100"/>
      <c r="BQ33" s="100"/>
      <c r="BR33" s="100"/>
      <c r="BS33" s="100"/>
      <c r="BT33" s="26"/>
      <c r="BU33" s="26"/>
      <c r="BV33" s="26"/>
      <c r="BW33" s="26"/>
      <c r="BX33" s="26"/>
      <c r="BY33" s="26"/>
      <c r="BZ33" s="26"/>
      <c r="CA33" s="26"/>
      <c r="CB33" s="26"/>
      <c r="CC33" s="26"/>
      <c r="CD33" s="26"/>
      <c r="CE33" s="26"/>
      <c r="CF33" s="26"/>
      <c r="CG33" s="26"/>
      <c r="CH33" s="26"/>
      <c r="CI33" s="26"/>
      <c r="CJ33" s="26"/>
      <c r="CK33" s="26"/>
      <c r="CL33" s="26"/>
      <c r="CM33" s="26"/>
      <c r="CN33" s="26"/>
      <c r="CO33" s="26"/>
      <c r="CP33" s="26"/>
      <c r="CQ33" s="26"/>
      <c r="CR33" s="26"/>
      <c r="CS33" s="26"/>
      <c r="CT33" s="26"/>
      <c r="CU33" s="26"/>
      <c r="CV33" s="26"/>
      <c r="CW33" s="26"/>
      <c r="CX33" s="26"/>
      <c r="CY33" s="26"/>
      <c r="CZ33" s="26"/>
      <c r="DA33" s="26"/>
      <c r="DB33" s="26"/>
      <c r="DC33" s="26"/>
      <c r="DD33" s="26"/>
      <c r="DE33" s="26"/>
      <c r="DF33" s="26"/>
      <c r="DG33" s="26"/>
      <c r="DH33" s="26"/>
      <c r="DI33" s="26"/>
      <c r="DJ33" s="26"/>
      <c r="DK33" s="26"/>
      <c r="DL33" s="26"/>
      <c r="DM33" s="26"/>
      <c r="DN33" s="26"/>
      <c r="DO33" s="26"/>
      <c r="DP33" s="26"/>
      <c r="DQ33" s="26"/>
      <c r="DR33" s="26"/>
      <c r="DS33" s="26"/>
      <c r="DT33" s="26"/>
      <c r="DU33" s="26"/>
      <c r="DV33" s="26"/>
      <c r="DW33" s="26"/>
      <c r="DX33" s="26"/>
      <c r="DY33" s="26"/>
      <c r="DZ33" s="26"/>
      <c r="EA33" s="26"/>
      <c r="EB33" s="26"/>
      <c r="EC33" s="26"/>
      <c r="ED33" s="26"/>
      <c r="EE33" s="26"/>
      <c r="EF33" s="26"/>
    </row>
    <row r="34" spans="2:136" s="9" customFormat="1">
      <c r="B34" s="14" t="s">
        <v>345</v>
      </c>
      <c r="C34" s="109">
        <v>3536.61</v>
      </c>
      <c r="D34" s="15" t="s">
        <v>9</v>
      </c>
      <c r="E34" s="23" t="s">
        <v>153</v>
      </c>
      <c r="F34" s="24"/>
      <c r="G34" s="24"/>
      <c r="H34" s="24"/>
      <c r="I34" s="25"/>
      <c r="J34" s="201"/>
      <c r="M34" s="26"/>
      <c r="N34" s="26"/>
      <c r="O34" s="26"/>
      <c r="P34" s="26"/>
      <c r="Q34" s="26"/>
      <c r="R34" s="26"/>
      <c r="S34" s="26"/>
      <c r="T34" s="26"/>
      <c r="U34" s="26"/>
      <c r="V34" s="26"/>
      <c r="W34" s="26"/>
      <c r="X34" s="26"/>
      <c r="Y34" s="26"/>
      <c r="Z34" s="26"/>
      <c r="AA34" s="26"/>
      <c r="AB34" s="26"/>
      <c r="AC34" s="26"/>
      <c r="AD34" s="26"/>
      <c r="AE34" s="26"/>
      <c r="AF34" s="26"/>
      <c r="AG34" s="26"/>
      <c r="AH34" s="26"/>
      <c r="AI34" s="26"/>
      <c r="AJ34" s="26"/>
      <c r="AK34" s="26"/>
      <c r="AL34" s="100"/>
      <c r="AM34" s="100"/>
      <c r="AN34" s="100"/>
      <c r="AO34" s="100"/>
      <c r="AP34" s="100"/>
      <c r="AQ34" s="100"/>
      <c r="AR34" s="100"/>
      <c r="AS34" s="100"/>
      <c r="AT34" s="100"/>
      <c r="AU34" s="100"/>
      <c r="AV34" s="100"/>
      <c r="AW34" s="100"/>
      <c r="AX34" s="100"/>
      <c r="AY34" s="100"/>
      <c r="AZ34" s="100"/>
      <c r="BA34" s="100"/>
      <c r="BB34" s="100"/>
      <c r="BC34" s="100"/>
      <c r="BD34" s="100"/>
      <c r="BE34" s="100"/>
      <c r="BF34" s="100"/>
      <c r="BG34" s="100"/>
      <c r="BH34" s="100"/>
      <c r="BI34" s="100"/>
      <c r="BJ34" s="100"/>
      <c r="BK34" s="100"/>
      <c r="BL34" s="100"/>
      <c r="BM34" s="100"/>
      <c r="BN34" s="100"/>
      <c r="BO34" s="100"/>
      <c r="BP34" s="100"/>
      <c r="BQ34" s="100"/>
      <c r="BR34" s="100"/>
      <c r="BS34" s="100"/>
      <c r="BT34" s="26"/>
      <c r="BU34" s="26"/>
      <c r="BV34" s="26"/>
      <c r="BW34" s="26"/>
      <c r="BX34" s="26"/>
      <c r="BY34" s="26"/>
      <c r="BZ34" s="26"/>
      <c r="CA34" s="26"/>
      <c r="CB34" s="26"/>
      <c r="CC34" s="26"/>
      <c r="CD34" s="26"/>
      <c r="CE34" s="26"/>
      <c r="CF34" s="26"/>
      <c r="CG34" s="26"/>
      <c r="CH34" s="26"/>
      <c r="CI34" s="26"/>
      <c r="CJ34" s="26"/>
      <c r="CK34" s="26"/>
      <c r="CL34" s="26"/>
      <c r="CM34" s="26"/>
      <c r="CN34" s="26"/>
      <c r="CO34" s="26"/>
      <c r="CP34" s="26"/>
      <c r="CQ34" s="26"/>
      <c r="CR34" s="26"/>
      <c r="CS34" s="26"/>
      <c r="CT34" s="26"/>
      <c r="CU34" s="26"/>
      <c r="CV34" s="26"/>
      <c r="CW34" s="26"/>
      <c r="CX34" s="26"/>
      <c r="CY34" s="26"/>
      <c r="CZ34" s="26"/>
      <c r="DA34" s="26"/>
      <c r="DB34" s="26"/>
      <c r="DC34" s="26"/>
      <c r="DD34" s="26"/>
      <c r="DE34" s="26"/>
      <c r="DF34" s="26"/>
      <c r="DG34" s="26"/>
      <c r="DH34" s="26"/>
      <c r="DI34" s="26"/>
      <c r="DJ34" s="26"/>
      <c r="DK34" s="26"/>
      <c r="DL34" s="26"/>
      <c r="DM34" s="26"/>
      <c r="DN34" s="26"/>
      <c r="DO34" s="26"/>
      <c r="DP34" s="26"/>
      <c r="DQ34" s="26"/>
      <c r="DR34" s="26"/>
      <c r="DS34" s="26"/>
      <c r="DT34" s="26"/>
      <c r="DU34" s="26"/>
      <c r="DV34" s="26"/>
      <c r="DW34" s="26"/>
      <c r="DX34" s="26"/>
      <c r="DY34" s="26"/>
      <c r="DZ34" s="26"/>
      <c r="EA34" s="26"/>
      <c r="EB34" s="26"/>
      <c r="EC34" s="26"/>
      <c r="ED34" s="26"/>
      <c r="EE34" s="26"/>
      <c r="EF34" s="26"/>
    </row>
    <row r="35" spans="2:136" s="9" customFormat="1">
      <c r="B35" s="14" t="s">
        <v>343</v>
      </c>
      <c r="C35" s="109">
        <v>1684.1</v>
      </c>
      <c r="D35" s="15" t="s">
        <v>131</v>
      </c>
      <c r="E35" s="23" t="s">
        <v>155</v>
      </c>
      <c r="F35" s="24"/>
      <c r="G35" s="24"/>
      <c r="H35" s="24"/>
      <c r="I35" s="25"/>
      <c r="J35" s="201"/>
      <c r="M35" s="26"/>
      <c r="N35" s="26"/>
      <c r="O35" s="26"/>
      <c r="P35" s="26"/>
      <c r="Q35" s="26"/>
      <c r="R35" s="26"/>
      <c r="S35" s="26"/>
      <c r="T35" s="26"/>
      <c r="U35" s="26"/>
      <c r="V35" s="26"/>
      <c r="W35" s="26"/>
      <c r="X35" s="26"/>
      <c r="Y35" s="26"/>
      <c r="Z35" s="26"/>
      <c r="AA35" s="26"/>
      <c r="AB35" s="26"/>
      <c r="AC35" s="26"/>
      <c r="AD35" s="26"/>
      <c r="AE35" s="26"/>
      <c r="AF35" s="26"/>
      <c r="AG35" s="26"/>
      <c r="AH35" s="26"/>
      <c r="AI35" s="26"/>
      <c r="AJ35" s="26"/>
      <c r="AK35" s="26"/>
      <c r="AL35" s="100"/>
      <c r="AM35" s="100"/>
      <c r="AN35" s="100"/>
      <c r="AO35" s="100"/>
      <c r="AP35" s="100"/>
      <c r="AQ35" s="100"/>
      <c r="AR35" s="100"/>
      <c r="AS35" s="100"/>
      <c r="AT35" s="100"/>
      <c r="AU35" s="100"/>
      <c r="AV35" s="100"/>
      <c r="AW35" s="100"/>
      <c r="AX35" s="100"/>
      <c r="AY35" s="100"/>
      <c r="AZ35" s="100"/>
      <c r="BA35" s="100"/>
      <c r="BB35" s="100"/>
      <c r="BC35" s="100"/>
      <c r="BD35" s="100"/>
      <c r="BE35" s="100"/>
      <c r="BF35" s="100"/>
      <c r="BG35" s="100"/>
      <c r="BH35" s="100"/>
      <c r="BI35" s="100"/>
      <c r="BJ35" s="100"/>
      <c r="BK35" s="100"/>
      <c r="BL35" s="100"/>
      <c r="BM35" s="100"/>
      <c r="BN35" s="100"/>
      <c r="BO35" s="100"/>
      <c r="BP35" s="100"/>
      <c r="BQ35" s="100"/>
      <c r="BR35" s="100"/>
      <c r="BS35" s="100"/>
      <c r="BT35" s="26"/>
      <c r="BU35" s="26"/>
      <c r="BV35" s="26"/>
      <c r="BW35" s="26"/>
      <c r="BX35" s="26"/>
      <c r="BY35" s="26"/>
      <c r="BZ35" s="26"/>
      <c r="CA35" s="26"/>
      <c r="CB35" s="26"/>
      <c r="CC35" s="26"/>
      <c r="CD35" s="26"/>
      <c r="CE35" s="26"/>
      <c r="CF35" s="26"/>
      <c r="CG35" s="26"/>
      <c r="CH35" s="26"/>
      <c r="CI35" s="26"/>
      <c r="CJ35" s="26"/>
      <c r="CK35" s="26"/>
      <c r="CL35" s="26"/>
      <c r="CM35" s="26"/>
      <c r="CN35" s="26"/>
      <c r="CO35" s="26"/>
      <c r="CP35" s="26"/>
      <c r="CQ35" s="26"/>
      <c r="CR35" s="26"/>
      <c r="CS35" s="26"/>
      <c r="CT35" s="26"/>
      <c r="CU35" s="26"/>
      <c r="CV35" s="26"/>
      <c r="CW35" s="26"/>
      <c r="CX35" s="26"/>
      <c r="CY35" s="26"/>
      <c r="CZ35" s="26"/>
      <c r="DA35" s="26"/>
      <c r="DB35" s="26"/>
      <c r="DC35" s="26"/>
      <c r="DD35" s="26"/>
      <c r="DE35" s="26"/>
      <c r="DF35" s="26"/>
      <c r="DG35" s="26"/>
      <c r="DH35" s="26"/>
      <c r="DI35" s="26"/>
      <c r="DJ35" s="26"/>
      <c r="DK35" s="26"/>
      <c r="DL35" s="26"/>
      <c r="DM35" s="26"/>
      <c r="DN35" s="26"/>
      <c r="DO35" s="26"/>
      <c r="DP35" s="26"/>
      <c r="DQ35" s="26"/>
      <c r="DR35" s="26"/>
      <c r="DS35" s="26"/>
      <c r="DT35" s="26"/>
      <c r="DU35" s="26"/>
      <c r="DV35" s="26"/>
      <c r="DW35" s="26"/>
      <c r="DX35" s="26"/>
      <c r="DY35" s="26"/>
      <c r="DZ35" s="26"/>
      <c r="EA35" s="26"/>
      <c r="EB35" s="26"/>
      <c r="EC35" s="26"/>
      <c r="ED35" s="26"/>
      <c r="EE35" s="26"/>
      <c r="EF35" s="26"/>
    </row>
    <row r="36" spans="2:136" s="9" customFormat="1">
      <c r="B36" s="14" t="s">
        <v>346</v>
      </c>
      <c r="C36" s="153">
        <v>140</v>
      </c>
      <c r="D36" s="15" t="s">
        <v>10</v>
      </c>
      <c r="E36" s="23" t="s">
        <v>140</v>
      </c>
      <c r="F36" s="24"/>
      <c r="G36" s="24"/>
      <c r="H36" s="24"/>
      <c r="I36" s="25"/>
      <c r="J36" s="201"/>
      <c r="M36" s="26"/>
      <c r="N36" s="26"/>
      <c r="O36" s="26"/>
      <c r="P36" s="118"/>
      <c r="Q36" s="26"/>
      <c r="R36" s="26"/>
      <c r="S36" s="26"/>
      <c r="T36" s="26"/>
      <c r="U36" s="26"/>
      <c r="V36" s="26"/>
      <c r="W36" s="26"/>
      <c r="X36" s="26"/>
      <c r="Y36" s="26"/>
      <c r="Z36" s="26"/>
      <c r="AA36" s="26"/>
      <c r="AB36" s="26"/>
      <c r="AC36" s="26"/>
      <c r="AD36" s="26"/>
      <c r="AE36" s="26"/>
      <c r="AF36" s="26"/>
      <c r="AG36" s="26"/>
      <c r="AH36" s="26"/>
      <c r="AI36" s="26"/>
      <c r="AJ36" s="26"/>
      <c r="AK36" s="26"/>
      <c r="AL36" s="100"/>
      <c r="AM36" s="100"/>
      <c r="AN36" s="100"/>
      <c r="AO36" s="100"/>
      <c r="AP36" s="100"/>
      <c r="AQ36" s="100"/>
      <c r="AR36" s="101" t="s">
        <v>148</v>
      </c>
      <c r="AS36" s="102">
        <v>1</v>
      </c>
      <c r="AT36" s="100"/>
      <c r="AU36" s="100"/>
      <c r="AV36" s="100"/>
      <c r="AW36" s="100"/>
      <c r="AX36" s="100"/>
      <c r="AY36" s="100"/>
      <c r="AZ36" s="100"/>
      <c r="BA36" s="100"/>
      <c r="BB36" s="100"/>
      <c r="BC36" s="100"/>
      <c r="BD36" s="100"/>
      <c r="BE36" s="100"/>
      <c r="BF36" s="100"/>
      <c r="BG36" s="100"/>
      <c r="BH36" s="100"/>
      <c r="BI36" s="100"/>
      <c r="BJ36" s="100"/>
      <c r="BK36" s="100"/>
      <c r="BL36" s="100"/>
      <c r="BM36" s="100"/>
      <c r="BN36" s="100"/>
      <c r="BO36" s="100"/>
      <c r="BP36" s="100"/>
      <c r="BQ36" s="100"/>
      <c r="BR36" s="100"/>
      <c r="BS36" s="100"/>
      <c r="BT36" s="26"/>
      <c r="BU36" s="26"/>
      <c r="BV36" s="26"/>
      <c r="BW36" s="26"/>
      <c r="BX36" s="26"/>
      <c r="BY36" s="26"/>
      <c r="BZ36" s="26"/>
      <c r="CA36" s="26"/>
      <c r="CB36" s="26"/>
      <c r="CC36" s="26"/>
      <c r="CD36" s="26"/>
      <c r="CE36" s="26"/>
      <c r="CF36" s="26"/>
      <c r="CG36" s="26"/>
      <c r="CH36" s="26"/>
      <c r="CI36" s="26"/>
      <c r="CJ36" s="26"/>
      <c r="CK36" s="26"/>
      <c r="CL36" s="26"/>
      <c r="CM36" s="26"/>
      <c r="CN36" s="26"/>
      <c r="CO36" s="26"/>
      <c r="CP36" s="26"/>
      <c r="CQ36" s="26"/>
      <c r="CR36" s="26"/>
      <c r="CS36" s="26"/>
      <c r="CT36" s="26"/>
      <c r="CU36" s="26"/>
      <c r="CV36" s="26"/>
      <c r="CW36" s="26"/>
      <c r="CX36" s="26"/>
      <c r="CY36" s="26"/>
      <c r="CZ36" s="26"/>
      <c r="DA36" s="26"/>
      <c r="DB36" s="26"/>
      <c r="DC36" s="26"/>
      <c r="DD36" s="26"/>
      <c r="DE36" s="26"/>
      <c r="DF36" s="26"/>
      <c r="DG36" s="26"/>
      <c r="DH36" s="26"/>
      <c r="DI36" s="26"/>
      <c r="DJ36" s="26"/>
      <c r="DK36" s="26"/>
      <c r="DL36" s="26"/>
      <c r="DM36" s="26"/>
      <c r="DN36" s="26"/>
      <c r="DO36" s="26"/>
      <c r="DP36" s="26"/>
      <c r="DQ36" s="26"/>
      <c r="DR36" s="26"/>
      <c r="DS36" s="26"/>
      <c r="DT36" s="26"/>
      <c r="DU36" s="26"/>
      <c r="DV36" s="26"/>
      <c r="DW36" s="26"/>
      <c r="DX36" s="26"/>
      <c r="DY36" s="26"/>
      <c r="DZ36" s="26"/>
      <c r="EA36" s="26"/>
      <c r="EB36" s="26"/>
      <c r="EC36" s="26"/>
      <c r="ED36" s="26"/>
      <c r="EE36" s="26"/>
      <c r="EF36" s="26"/>
    </row>
    <row r="37" spans="2:136" s="9" customFormat="1">
      <c r="B37" s="14" t="s">
        <v>135</v>
      </c>
      <c r="C37" s="109">
        <v>307.81</v>
      </c>
      <c r="D37" s="15" t="s">
        <v>10</v>
      </c>
      <c r="E37" s="23" t="s">
        <v>136</v>
      </c>
      <c r="F37" s="24"/>
      <c r="G37" s="24"/>
      <c r="H37" s="24"/>
      <c r="I37" s="25"/>
      <c r="J37" s="201"/>
      <c r="M37" s="26"/>
      <c r="N37" s="26"/>
      <c r="O37" s="26"/>
      <c r="P37" s="118"/>
      <c r="Q37" s="26"/>
      <c r="R37" s="26"/>
      <c r="S37" s="26"/>
      <c r="T37" s="26"/>
      <c r="U37" s="26"/>
      <c r="V37" s="26"/>
      <c r="W37" s="26"/>
      <c r="X37" s="26"/>
      <c r="Y37" s="26"/>
      <c r="Z37" s="26"/>
      <c r="AA37" s="26"/>
      <c r="AB37" s="26"/>
      <c r="AC37" s="26"/>
      <c r="AD37" s="26"/>
      <c r="AE37" s="26"/>
      <c r="AF37" s="26"/>
      <c r="AG37" s="26"/>
      <c r="AH37" s="26"/>
      <c r="AI37" s="26"/>
      <c r="AJ37" s="26"/>
      <c r="AK37" s="26"/>
      <c r="AL37" s="100"/>
      <c r="AM37" s="100"/>
      <c r="AN37" s="100"/>
      <c r="AO37" s="100"/>
      <c r="AP37" s="100"/>
      <c r="AQ37" s="100"/>
      <c r="AR37" s="101" t="s">
        <v>150</v>
      </c>
      <c r="AS37" s="103">
        <v>0.82</v>
      </c>
      <c r="AT37" s="100"/>
      <c r="AU37" s="100"/>
      <c r="AV37" s="100"/>
      <c r="AW37" s="100"/>
      <c r="AX37" s="100"/>
      <c r="AY37" s="100"/>
      <c r="AZ37" s="100"/>
      <c r="BA37" s="100"/>
      <c r="BB37" s="100"/>
      <c r="BC37" s="100"/>
      <c r="BD37" s="100"/>
      <c r="BE37" s="100"/>
      <c r="BF37" s="100"/>
      <c r="BG37" s="100"/>
      <c r="BH37" s="100"/>
      <c r="BI37" s="100"/>
      <c r="BJ37" s="100"/>
      <c r="BK37" s="100"/>
      <c r="BL37" s="100"/>
      <c r="BM37" s="100"/>
      <c r="BN37" s="100"/>
      <c r="BO37" s="100"/>
      <c r="BP37" s="100"/>
      <c r="BQ37" s="100"/>
      <c r="BR37" s="100"/>
      <c r="BS37" s="100"/>
      <c r="BT37" s="26"/>
      <c r="BU37" s="26"/>
      <c r="BV37" s="26"/>
      <c r="BW37" s="26"/>
      <c r="BX37" s="26"/>
      <c r="BY37" s="26"/>
      <c r="BZ37" s="26"/>
      <c r="CA37" s="26"/>
      <c r="CB37" s="26"/>
      <c r="CC37" s="26"/>
      <c r="CD37" s="26"/>
      <c r="CE37" s="26"/>
      <c r="CF37" s="26"/>
      <c r="CG37" s="26"/>
      <c r="CH37" s="26"/>
      <c r="CI37" s="26"/>
      <c r="CJ37" s="26"/>
      <c r="CK37" s="26"/>
      <c r="CL37" s="26"/>
      <c r="CM37" s="26"/>
      <c r="CN37" s="26"/>
      <c r="CO37" s="26"/>
      <c r="CP37" s="26"/>
      <c r="CQ37" s="26"/>
      <c r="CR37" s="26"/>
      <c r="CS37" s="26"/>
      <c r="CT37" s="26"/>
      <c r="CU37" s="26"/>
      <c r="CV37" s="26"/>
      <c r="CW37" s="26"/>
      <c r="CX37" s="26"/>
      <c r="CY37" s="26"/>
      <c r="CZ37" s="26"/>
      <c r="DA37" s="26"/>
      <c r="DB37" s="26"/>
      <c r="DC37" s="26"/>
      <c r="DD37" s="26"/>
      <c r="DE37" s="26"/>
      <c r="DF37" s="26"/>
      <c r="DG37" s="26"/>
      <c r="DH37" s="26"/>
      <c r="DI37" s="26"/>
      <c r="DJ37" s="26"/>
      <c r="DK37" s="26"/>
      <c r="DL37" s="26"/>
      <c r="DM37" s="26"/>
      <c r="DN37" s="26"/>
      <c r="DO37" s="26"/>
      <c r="DP37" s="26"/>
      <c r="DQ37" s="26"/>
      <c r="DR37" s="26"/>
      <c r="DS37" s="26"/>
      <c r="DT37" s="26"/>
      <c r="DU37" s="26"/>
      <c r="DV37" s="26"/>
      <c r="DW37" s="26"/>
      <c r="DX37" s="26"/>
      <c r="DY37" s="26"/>
      <c r="DZ37" s="26"/>
      <c r="EA37" s="26"/>
      <c r="EB37" s="26"/>
      <c r="EC37" s="26"/>
      <c r="ED37" s="26"/>
      <c r="EE37" s="26"/>
      <c r="EF37" s="26"/>
    </row>
    <row r="38" spans="2:136" s="9" customFormat="1">
      <c r="B38" s="14" t="s">
        <v>145</v>
      </c>
      <c r="C38" s="183" t="s">
        <v>150</v>
      </c>
      <c r="D38" s="184"/>
      <c r="E38" s="23" t="s">
        <v>147</v>
      </c>
      <c r="F38" s="24"/>
      <c r="G38" s="24"/>
      <c r="H38" s="24"/>
      <c r="I38" s="25"/>
      <c r="J38" s="201"/>
      <c r="M38" s="26"/>
      <c r="N38" s="26"/>
      <c r="O38" s="26"/>
      <c r="P38" s="118"/>
      <c r="Q38" s="26"/>
      <c r="R38" s="26"/>
      <c r="S38" s="26"/>
      <c r="T38" s="26"/>
      <c r="U38" s="26"/>
      <c r="V38" s="26"/>
      <c r="W38" s="26"/>
      <c r="X38" s="26"/>
      <c r="Y38" s="26"/>
      <c r="Z38" s="26"/>
      <c r="AA38" s="26"/>
      <c r="AB38" s="26"/>
      <c r="AC38" s="26"/>
      <c r="AD38" s="26"/>
      <c r="AE38" s="26"/>
      <c r="AF38" s="26"/>
      <c r="AG38" s="26"/>
      <c r="AH38" s="26"/>
      <c r="AI38" s="26"/>
      <c r="AJ38" s="26"/>
      <c r="AK38" s="26"/>
      <c r="AL38" s="100"/>
      <c r="AM38" s="100"/>
      <c r="AN38" s="100"/>
      <c r="AO38" s="100"/>
      <c r="AP38" s="100"/>
      <c r="AQ38" s="100"/>
      <c r="AR38" s="101" t="s">
        <v>149</v>
      </c>
      <c r="AS38" s="103">
        <v>0.55000000000000004</v>
      </c>
      <c r="AT38" s="100"/>
      <c r="AU38" s="100"/>
      <c r="AV38" s="100"/>
      <c r="AW38" s="100"/>
      <c r="AX38" s="100"/>
      <c r="AY38" s="100"/>
      <c r="AZ38" s="100"/>
      <c r="BA38" s="100"/>
      <c r="BB38" s="100"/>
      <c r="BC38" s="100"/>
      <c r="BD38" s="100"/>
      <c r="BE38" s="100"/>
      <c r="BF38" s="100"/>
      <c r="BG38" s="100"/>
      <c r="BH38" s="100"/>
      <c r="BI38" s="100"/>
      <c r="BJ38" s="100"/>
      <c r="BK38" s="100"/>
      <c r="BL38" s="100"/>
      <c r="BM38" s="100"/>
      <c r="BN38" s="100"/>
      <c r="BO38" s="100"/>
      <c r="BP38" s="100"/>
      <c r="BQ38" s="100"/>
      <c r="BR38" s="100"/>
      <c r="BS38" s="100"/>
      <c r="BT38" s="26"/>
      <c r="BU38" s="26"/>
      <c r="BV38" s="26"/>
      <c r="BW38" s="26"/>
      <c r="BX38" s="26"/>
      <c r="BY38" s="26"/>
      <c r="BZ38" s="26"/>
      <c r="CA38" s="26"/>
      <c r="CB38" s="26"/>
      <c r="CC38" s="26"/>
      <c r="CD38" s="26"/>
      <c r="CE38" s="26"/>
      <c r="CF38" s="26"/>
      <c r="CG38" s="26"/>
      <c r="CH38" s="26"/>
      <c r="CI38" s="26"/>
      <c r="CJ38" s="26"/>
      <c r="CK38" s="26"/>
      <c r="CL38" s="26"/>
      <c r="CM38" s="26"/>
      <c r="CN38" s="26"/>
      <c r="CO38" s="26"/>
      <c r="CP38" s="26"/>
      <c r="CQ38" s="26"/>
      <c r="CR38" s="26"/>
      <c r="CS38" s="26"/>
      <c r="CT38" s="26"/>
      <c r="CU38" s="26"/>
      <c r="CV38" s="26"/>
      <c r="CW38" s="26"/>
      <c r="CX38" s="26"/>
      <c r="CY38" s="26"/>
      <c r="CZ38" s="26"/>
      <c r="DA38" s="26"/>
      <c r="DB38" s="26"/>
      <c r="DC38" s="26"/>
      <c r="DD38" s="26"/>
      <c r="DE38" s="26"/>
      <c r="DF38" s="26"/>
      <c r="DG38" s="26"/>
      <c r="DH38" s="26"/>
      <c r="DI38" s="26"/>
      <c r="DJ38" s="26"/>
      <c r="DK38" s="26"/>
      <c r="DL38" s="26"/>
      <c r="DM38" s="26"/>
      <c r="DN38" s="26"/>
      <c r="DO38" s="26"/>
      <c r="DP38" s="26"/>
      <c r="DQ38" s="26"/>
      <c r="DR38" s="26"/>
      <c r="DS38" s="26"/>
      <c r="DT38" s="26"/>
      <c r="DU38" s="26"/>
      <c r="DV38" s="26"/>
      <c r="DW38" s="26"/>
      <c r="DX38" s="26"/>
      <c r="DY38" s="26"/>
      <c r="DZ38" s="26"/>
      <c r="EA38" s="26"/>
      <c r="EB38" s="26"/>
      <c r="EC38" s="26"/>
      <c r="ED38" s="26"/>
      <c r="EE38" s="26"/>
      <c r="EF38" s="26"/>
    </row>
    <row r="39" spans="2:136" s="9" customFormat="1">
      <c r="B39" s="14" t="s">
        <v>174</v>
      </c>
      <c r="C39" s="35">
        <f>IF(C38="","",INDEX($AS$36:$AS$38,MATCH(C38,$AR$36:$AR$38,0)))</f>
        <v>0.82</v>
      </c>
      <c r="D39" s="15" t="s">
        <v>5</v>
      </c>
      <c r="E39" s="23" t="s">
        <v>178</v>
      </c>
      <c r="F39" s="24"/>
      <c r="G39" s="24"/>
      <c r="H39" s="24"/>
      <c r="I39" s="25"/>
      <c r="J39" s="201"/>
      <c r="M39" s="26"/>
      <c r="N39" s="26"/>
      <c r="O39" s="26"/>
      <c r="P39" s="26"/>
      <c r="Q39" s="26"/>
      <c r="R39" s="26"/>
      <c r="S39" s="26"/>
      <c r="T39" s="26"/>
      <c r="U39" s="26"/>
      <c r="V39" s="26"/>
      <c r="W39" s="26"/>
      <c r="X39" s="26"/>
      <c r="Y39" s="26"/>
      <c r="Z39" s="26"/>
      <c r="AA39" s="26"/>
      <c r="AB39" s="26"/>
      <c r="AC39" s="26"/>
      <c r="AD39" s="26"/>
      <c r="AE39" s="26"/>
      <c r="AF39" s="26"/>
      <c r="AG39" s="26"/>
      <c r="AH39" s="26"/>
      <c r="AI39" s="26"/>
      <c r="AJ39" s="26"/>
      <c r="AK39" s="26"/>
      <c r="AL39" s="100"/>
      <c r="AM39" s="100"/>
      <c r="AN39" s="100"/>
      <c r="AO39" s="100"/>
      <c r="AP39" s="100"/>
      <c r="AQ39" s="100"/>
      <c r="AR39" s="101"/>
      <c r="AS39" s="100"/>
      <c r="AT39" s="100"/>
      <c r="AU39" s="100"/>
      <c r="AV39" s="100"/>
      <c r="AW39" s="100"/>
      <c r="AX39" s="100"/>
      <c r="AY39" s="100"/>
      <c r="AZ39" s="100"/>
      <c r="BA39" s="100"/>
      <c r="BB39" s="100"/>
      <c r="BC39" s="100"/>
      <c r="BD39" s="100"/>
      <c r="BE39" s="100"/>
      <c r="BF39" s="100"/>
      <c r="BG39" s="100"/>
      <c r="BH39" s="100"/>
      <c r="BI39" s="100"/>
      <c r="BJ39" s="100"/>
      <c r="BK39" s="100"/>
      <c r="BL39" s="100"/>
      <c r="BM39" s="100"/>
      <c r="BN39" s="100"/>
      <c r="BO39" s="100"/>
      <c r="BP39" s="100"/>
      <c r="BQ39" s="100"/>
      <c r="BR39" s="100"/>
      <c r="BS39" s="100"/>
      <c r="BT39" s="26"/>
      <c r="BU39" s="26"/>
      <c r="BV39" s="26"/>
      <c r="BW39" s="26"/>
      <c r="BX39" s="26"/>
      <c r="BY39" s="26"/>
      <c r="BZ39" s="26"/>
      <c r="CA39" s="26"/>
      <c r="CB39" s="26"/>
      <c r="CC39" s="26"/>
      <c r="CD39" s="26"/>
      <c r="CE39" s="26"/>
      <c r="CF39" s="26"/>
      <c r="CG39" s="26"/>
      <c r="CH39" s="26"/>
      <c r="CI39" s="26"/>
      <c r="CJ39" s="26"/>
      <c r="CK39" s="26"/>
      <c r="CL39" s="26"/>
      <c r="CM39" s="26"/>
      <c r="CN39" s="26"/>
      <c r="CO39" s="26"/>
      <c r="CP39" s="26"/>
      <c r="CQ39" s="26"/>
      <c r="CR39" s="26"/>
      <c r="CS39" s="26"/>
      <c r="CT39" s="26"/>
      <c r="CU39" s="26"/>
      <c r="CV39" s="26"/>
      <c r="CW39" s="26"/>
      <c r="CX39" s="26"/>
      <c r="CY39" s="26"/>
      <c r="CZ39" s="26"/>
      <c r="DA39" s="26"/>
      <c r="DB39" s="26"/>
      <c r="DC39" s="26"/>
      <c r="DD39" s="26"/>
      <c r="DE39" s="26"/>
      <c r="DF39" s="26"/>
      <c r="DG39" s="26"/>
      <c r="DH39" s="26"/>
      <c r="DI39" s="26"/>
      <c r="DJ39" s="26"/>
      <c r="DK39" s="26"/>
      <c r="DL39" s="26"/>
      <c r="DM39" s="26"/>
      <c r="DN39" s="26"/>
      <c r="DO39" s="26"/>
      <c r="DP39" s="26"/>
      <c r="DQ39" s="26"/>
      <c r="DR39" s="26"/>
      <c r="DS39" s="26"/>
      <c r="DT39" s="26"/>
      <c r="DU39" s="26"/>
      <c r="DV39" s="26"/>
      <c r="DW39" s="26"/>
      <c r="DX39" s="26"/>
      <c r="DY39" s="26"/>
      <c r="DZ39" s="26"/>
      <c r="EA39" s="26"/>
      <c r="EB39" s="26"/>
      <c r="EC39" s="26"/>
      <c r="ED39" s="26"/>
      <c r="EE39" s="26"/>
      <c r="EF39" s="26"/>
    </row>
    <row r="40" spans="2:136" s="9" customFormat="1">
      <c r="B40" s="14" t="s">
        <v>142</v>
      </c>
      <c r="C40" s="153">
        <v>90</v>
      </c>
      <c r="D40" s="15" t="s">
        <v>143</v>
      </c>
      <c r="E40" s="23" t="s">
        <v>477</v>
      </c>
      <c r="F40" s="24"/>
      <c r="G40" s="24"/>
      <c r="H40" s="24"/>
      <c r="I40" s="25"/>
      <c r="J40" s="201"/>
      <c r="M40" s="26"/>
      <c r="N40" s="26"/>
      <c r="O40" s="26"/>
      <c r="P40" s="26"/>
      <c r="Q40" s="26"/>
      <c r="R40" s="26"/>
      <c r="S40" s="26"/>
      <c r="T40" s="26"/>
      <c r="U40" s="26"/>
      <c r="V40" s="26"/>
      <c r="W40" s="26"/>
      <c r="X40" s="26"/>
      <c r="Y40" s="26"/>
      <c r="Z40" s="26"/>
      <c r="AA40" s="26"/>
      <c r="AB40" s="26"/>
      <c r="AC40" s="26"/>
      <c r="AD40" s="26"/>
      <c r="AE40" s="26"/>
      <c r="AF40" s="26"/>
      <c r="AG40" s="26"/>
      <c r="AH40" s="26"/>
      <c r="AI40" s="26"/>
      <c r="AJ40" s="26"/>
      <c r="AK40" s="26"/>
      <c r="AL40" s="100"/>
      <c r="AM40" s="100"/>
      <c r="AN40" s="100"/>
      <c r="AO40" s="100"/>
      <c r="AP40" s="100"/>
      <c r="AQ40" s="100"/>
      <c r="AR40" s="101"/>
      <c r="AS40" s="100"/>
      <c r="AT40" s="100"/>
      <c r="AU40" s="100"/>
      <c r="AV40" s="100"/>
      <c r="AW40" s="100"/>
      <c r="AX40" s="100"/>
      <c r="AY40" s="100"/>
      <c r="AZ40" s="100"/>
      <c r="BA40" s="100"/>
      <c r="BB40" s="100"/>
      <c r="BC40" s="100"/>
      <c r="BD40" s="100"/>
      <c r="BE40" s="100"/>
      <c r="BF40" s="100"/>
      <c r="BG40" s="100"/>
      <c r="BH40" s="100"/>
      <c r="BI40" s="100"/>
      <c r="BJ40" s="100"/>
      <c r="BK40" s="100"/>
      <c r="BL40" s="100"/>
      <c r="BM40" s="100"/>
      <c r="BN40" s="100"/>
      <c r="BO40" s="100"/>
      <c r="BP40" s="100"/>
      <c r="BQ40" s="100"/>
      <c r="BR40" s="100"/>
      <c r="BS40" s="100"/>
      <c r="BT40" s="26"/>
      <c r="BU40" s="26"/>
      <c r="BV40" s="26"/>
      <c r="BW40" s="26"/>
      <c r="BX40" s="26"/>
      <c r="BY40" s="26"/>
      <c r="BZ40" s="26"/>
      <c r="CA40" s="26"/>
      <c r="CB40" s="26"/>
      <c r="CC40" s="26"/>
      <c r="CD40" s="26"/>
      <c r="CE40" s="26"/>
      <c r="CF40" s="26"/>
      <c r="CG40" s="26"/>
      <c r="CH40" s="26"/>
      <c r="CI40" s="26"/>
      <c r="CJ40" s="26"/>
      <c r="CK40" s="26"/>
      <c r="CL40" s="26"/>
      <c r="CM40" s="26"/>
      <c r="CN40" s="26"/>
      <c r="CO40" s="26"/>
      <c r="CP40" s="26"/>
      <c r="CQ40" s="26"/>
      <c r="CR40" s="26"/>
      <c r="CS40" s="26"/>
      <c r="CT40" s="26"/>
      <c r="CU40" s="26"/>
      <c r="CV40" s="26"/>
      <c r="CW40" s="26"/>
      <c r="CX40" s="26"/>
      <c r="CY40" s="26"/>
      <c r="CZ40" s="26"/>
      <c r="DA40" s="26"/>
      <c r="DB40" s="26"/>
      <c r="DC40" s="26"/>
      <c r="DD40" s="26"/>
      <c r="DE40" s="26"/>
      <c r="DF40" s="26"/>
      <c r="DG40" s="26"/>
      <c r="DH40" s="26"/>
      <c r="DI40" s="26"/>
      <c r="DJ40" s="26"/>
      <c r="DK40" s="26"/>
      <c r="DL40" s="26"/>
      <c r="DM40" s="26"/>
      <c r="DN40" s="26"/>
      <c r="DO40" s="26"/>
      <c r="DP40" s="26"/>
      <c r="DQ40" s="26"/>
      <c r="DR40" s="26"/>
      <c r="DS40" s="26"/>
      <c r="DT40" s="26"/>
      <c r="DU40" s="26"/>
      <c r="DV40" s="26"/>
      <c r="DW40" s="26"/>
      <c r="DX40" s="26"/>
      <c r="DY40" s="26"/>
      <c r="DZ40" s="26"/>
      <c r="EA40" s="26"/>
      <c r="EB40" s="26"/>
      <c r="EC40" s="26"/>
      <c r="ED40" s="26"/>
      <c r="EE40" s="26"/>
      <c r="EF40" s="26"/>
    </row>
    <row r="41" spans="2:136" s="9" customFormat="1">
      <c r="B41" s="14" t="s">
        <v>175</v>
      </c>
      <c r="C41" s="114">
        <f>IF(C40="","",(C40/90)^(0.13))</f>
        <v>1</v>
      </c>
      <c r="D41" s="15" t="s">
        <v>5</v>
      </c>
      <c r="E41" s="23" t="s">
        <v>181</v>
      </c>
      <c r="F41" s="24"/>
      <c r="G41" s="24"/>
      <c r="H41" s="24"/>
      <c r="I41" s="25"/>
      <c r="J41" s="201"/>
      <c r="M41" s="26"/>
      <c r="N41" s="26"/>
      <c r="O41" s="26"/>
      <c r="P41" s="26"/>
      <c r="Q41" s="26"/>
      <c r="R41" s="26"/>
      <c r="S41" s="26"/>
      <c r="T41" s="26"/>
      <c r="U41" s="26"/>
      <c r="V41" s="26"/>
      <c r="W41" s="26"/>
      <c r="X41" s="26"/>
      <c r="Y41" s="26"/>
      <c r="Z41" s="26"/>
      <c r="AA41" s="26"/>
      <c r="AB41" s="26"/>
      <c r="AC41" s="26"/>
      <c r="AD41" s="26"/>
      <c r="AE41" s="26"/>
      <c r="AF41" s="26"/>
      <c r="AG41" s="26"/>
      <c r="AH41" s="26"/>
      <c r="AI41" s="26"/>
      <c r="AJ41" s="26"/>
      <c r="AK41" s="26"/>
      <c r="AL41" s="100"/>
      <c r="AM41" s="100"/>
      <c r="AN41" s="100"/>
      <c r="AO41" s="100"/>
      <c r="AP41" s="100"/>
      <c r="AQ41" s="100"/>
      <c r="AR41" s="101"/>
      <c r="AS41" s="100"/>
      <c r="AT41" s="100"/>
      <c r="AU41" s="100"/>
      <c r="AV41" s="100"/>
      <c r="AW41" s="100"/>
      <c r="AX41" s="100"/>
      <c r="AY41" s="100"/>
      <c r="AZ41" s="100"/>
      <c r="BA41" s="100"/>
      <c r="BB41" s="100"/>
      <c r="BC41" s="100"/>
      <c r="BD41" s="100"/>
      <c r="BE41" s="100"/>
      <c r="BF41" s="100"/>
      <c r="BG41" s="100"/>
      <c r="BH41" s="100"/>
      <c r="BI41" s="100"/>
      <c r="BJ41" s="100"/>
      <c r="BK41" s="100"/>
      <c r="BL41" s="100"/>
      <c r="BM41" s="100"/>
      <c r="BN41" s="100"/>
      <c r="BO41" s="100"/>
      <c r="BP41" s="100"/>
      <c r="BQ41" s="100"/>
      <c r="BR41" s="100"/>
      <c r="BS41" s="100"/>
      <c r="BT41" s="26"/>
      <c r="BU41" s="26"/>
      <c r="BV41" s="26"/>
      <c r="BW41" s="26"/>
      <c r="BX41" s="26"/>
      <c r="BY41" s="26"/>
      <c r="BZ41" s="26"/>
      <c r="CA41" s="26"/>
      <c r="CB41" s="26"/>
      <c r="CC41" s="26"/>
      <c r="CD41" s="26"/>
      <c r="CE41" s="26"/>
      <c r="CF41" s="26"/>
      <c r="CG41" s="26"/>
      <c r="CH41" s="26"/>
      <c r="CI41" s="26"/>
      <c r="CJ41" s="26"/>
      <c r="CK41" s="26"/>
      <c r="CL41" s="26"/>
      <c r="CM41" s="26"/>
      <c r="CN41" s="26"/>
      <c r="CO41" s="26"/>
      <c r="CP41" s="26"/>
      <c r="CQ41" s="26"/>
      <c r="CR41" s="26"/>
      <c r="CS41" s="26"/>
      <c r="CT41" s="26"/>
      <c r="CU41" s="26"/>
      <c r="CV41" s="26"/>
      <c r="CW41" s="26"/>
      <c r="CX41" s="26"/>
      <c r="CY41" s="26"/>
      <c r="CZ41" s="26"/>
      <c r="DA41" s="26"/>
      <c r="DB41" s="26"/>
      <c r="DC41" s="26"/>
      <c r="DD41" s="26"/>
      <c r="DE41" s="26"/>
      <c r="DF41" s="26"/>
      <c r="DG41" s="26"/>
      <c r="DH41" s="26"/>
      <c r="DI41" s="26"/>
      <c r="DJ41" s="26"/>
      <c r="DK41" s="26"/>
      <c r="DL41" s="26"/>
      <c r="DM41" s="26"/>
      <c r="DN41" s="26"/>
      <c r="DO41" s="26"/>
      <c r="DP41" s="26"/>
      <c r="DQ41" s="26"/>
      <c r="DR41" s="26"/>
      <c r="DS41" s="26"/>
      <c r="DT41" s="26"/>
      <c r="DU41" s="26"/>
      <c r="DV41" s="26"/>
      <c r="DW41" s="26"/>
      <c r="DX41" s="26"/>
      <c r="DY41" s="26"/>
      <c r="DZ41" s="26"/>
      <c r="EA41" s="26"/>
      <c r="EB41" s="26"/>
      <c r="EC41" s="26"/>
      <c r="ED41" s="26"/>
      <c r="EE41" s="26"/>
      <c r="EF41" s="26"/>
    </row>
    <row r="42" spans="2:136" s="9" customFormat="1" ht="15.75" thickBot="1">
      <c r="B42" s="41" t="s">
        <v>159</v>
      </c>
      <c r="C42" s="110">
        <v>5.58</v>
      </c>
      <c r="D42" s="42" t="s">
        <v>10</v>
      </c>
      <c r="E42" s="43" t="s">
        <v>161</v>
      </c>
      <c r="F42" s="44"/>
      <c r="G42" s="44"/>
      <c r="H42" s="44"/>
      <c r="I42" s="45"/>
      <c r="J42" s="202"/>
      <c r="M42" s="26"/>
      <c r="N42" s="26"/>
      <c r="O42" s="26"/>
      <c r="P42" s="26"/>
      <c r="Q42" s="26"/>
      <c r="R42" s="26"/>
      <c r="S42" s="26"/>
      <c r="T42" s="26"/>
      <c r="U42" s="26"/>
      <c r="V42" s="26"/>
      <c r="W42" s="26"/>
      <c r="X42" s="26"/>
      <c r="Y42" s="26"/>
      <c r="Z42" s="26"/>
      <c r="AA42" s="26"/>
      <c r="AB42" s="26"/>
      <c r="AC42" s="26"/>
      <c r="AD42" s="26"/>
      <c r="AE42" s="26"/>
      <c r="AF42" s="26"/>
      <c r="AG42" s="26"/>
      <c r="AH42" s="26"/>
      <c r="AI42" s="26"/>
      <c r="AJ42" s="26"/>
      <c r="AK42" s="26"/>
      <c r="AL42" s="100"/>
      <c r="AM42" s="100"/>
      <c r="AN42" s="100"/>
      <c r="AO42" s="100"/>
      <c r="AP42" s="100"/>
      <c r="AQ42" s="100"/>
      <c r="AR42" s="101"/>
      <c r="AS42" s="100"/>
      <c r="AT42" s="100"/>
      <c r="AU42" s="100"/>
      <c r="AV42" s="100"/>
      <c r="AW42" s="100"/>
      <c r="AX42" s="100"/>
      <c r="AY42" s="100"/>
      <c r="AZ42" s="100"/>
      <c r="BA42" s="100"/>
      <c r="BB42" s="100"/>
      <c r="BC42" s="100"/>
      <c r="BD42" s="100"/>
      <c r="BE42" s="100"/>
      <c r="BF42" s="100"/>
      <c r="BG42" s="100"/>
      <c r="BH42" s="100"/>
      <c r="BI42" s="100"/>
      <c r="BJ42" s="100"/>
      <c r="BK42" s="100"/>
      <c r="BL42" s="100"/>
      <c r="BM42" s="100"/>
      <c r="BN42" s="100"/>
      <c r="BO42" s="100"/>
      <c r="BP42" s="100"/>
      <c r="BQ42" s="100"/>
      <c r="BR42" s="100"/>
      <c r="BS42" s="100"/>
      <c r="BT42" s="26"/>
      <c r="BU42" s="26"/>
      <c r="BV42" s="26"/>
      <c r="BW42" s="26"/>
      <c r="BX42" s="26"/>
      <c r="BY42" s="26"/>
      <c r="BZ42" s="26"/>
      <c r="CA42" s="26"/>
      <c r="CB42" s="26"/>
      <c r="CC42" s="26"/>
      <c r="CD42" s="26"/>
      <c r="CE42" s="26"/>
      <c r="CF42" s="26"/>
      <c r="CG42" s="26"/>
      <c r="CH42" s="26"/>
      <c r="CI42" s="26"/>
      <c r="CJ42" s="26"/>
      <c r="CK42" s="26"/>
      <c r="CL42" s="26"/>
      <c r="CM42" s="26"/>
      <c r="CN42" s="26"/>
      <c r="CO42" s="26"/>
      <c r="CP42" s="26"/>
      <c r="CQ42" s="26"/>
      <c r="CR42" s="26"/>
      <c r="CS42" s="26"/>
      <c r="CT42" s="26"/>
      <c r="CU42" s="26"/>
      <c r="CV42" s="26"/>
      <c r="CW42" s="26"/>
      <c r="CX42" s="26"/>
      <c r="CY42" s="26"/>
      <c r="CZ42" s="26"/>
      <c r="DA42" s="26"/>
      <c r="DB42" s="26"/>
      <c r="DC42" s="26"/>
      <c r="DD42" s="26"/>
      <c r="DE42" s="26"/>
      <c r="DF42" s="26"/>
      <c r="DG42" s="26"/>
      <c r="DH42" s="26"/>
      <c r="DI42" s="26"/>
      <c r="DJ42" s="26"/>
      <c r="DK42" s="26"/>
      <c r="DL42" s="26"/>
      <c r="DM42" s="26"/>
      <c r="DN42" s="26"/>
      <c r="DO42" s="26"/>
      <c r="DP42" s="26"/>
      <c r="DQ42" s="26"/>
      <c r="DR42" s="26"/>
      <c r="DS42" s="26"/>
      <c r="DT42" s="26"/>
      <c r="DU42" s="26"/>
      <c r="DV42" s="26"/>
      <c r="DW42" s="26"/>
      <c r="DX42" s="26"/>
      <c r="DY42" s="26"/>
      <c r="DZ42" s="26"/>
      <c r="EA42" s="26"/>
      <c r="EB42" s="26"/>
      <c r="EC42" s="26"/>
      <c r="ED42" s="26"/>
      <c r="EE42" s="26"/>
      <c r="EF42" s="26"/>
    </row>
    <row r="43" spans="2:136">
      <c r="B43" s="14" t="s">
        <v>333</v>
      </c>
      <c r="C43" s="151">
        <v>23</v>
      </c>
      <c r="D43" s="17" t="s">
        <v>10</v>
      </c>
      <c r="E43" s="50" t="s">
        <v>332</v>
      </c>
      <c r="F43" s="51"/>
      <c r="G43" s="51"/>
      <c r="H43" s="51"/>
      <c r="I43" s="52"/>
      <c r="J43" s="200" t="s">
        <v>33</v>
      </c>
      <c r="AR43" s="104" t="s">
        <v>26</v>
      </c>
      <c r="AS43" s="105">
        <v>1.1000000000000001</v>
      </c>
    </row>
    <row r="44" spans="2:136" s="9" customFormat="1">
      <c r="B44" s="37" t="s">
        <v>334</v>
      </c>
      <c r="C44" s="151">
        <v>23</v>
      </c>
      <c r="D44" s="17" t="s">
        <v>10</v>
      </c>
      <c r="E44" s="8" t="s">
        <v>336</v>
      </c>
      <c r="F44" s="21"/>
      <c r="G44" s="21"/>
      <c r="H44" s="21"/>
      <c r="I44" s="22"/>
      <c r="J44" s="201"/>
      <c r="M44" s="26"/>
      <c r="N44" s="26"/>
      <c r="O44" s="26"/>
      <c r="P44" s="26"/>
      <c r="Q44" s="26"/>
      <c r="R44" s="26"/>
      <c r="S44" s="26"/>
      <c r="T44" s="26"/>
      <c r="U44" s="26"/>
      <c r="V44" s="26"/>
      <c r="W44" s="26"/>
      <c r="X44" s="26"/>
      <c r="Y44" s="26"/>
      <c r="Z44" s="26"/>
      <c r="AA44" s="26"/>
      <c r="AB44" s="26"/>
      <c r="AC44" s="26"/>
      <c r="AD44" s="26"/>
      <c r="AE44" s="26"/>
      <c r="AF44" s="26"/>
      <c r="AG44" s="26"/>
      <c r="AH44" s="26"/>
      <c r="AI44" s="26"/>
      <c r="AJ44" s="26"/>
      <c r="AK44" s="26"/>
      <c r="AL44" s="100"/>
      <c r="AM44" s="100"/>
      <c r="AN44" s="100"/>
      <c r="AO44" s="100"/>
      <c r="AP44" s="100"/>
      <c r="AQ44" s="100"/>
      <c r="AR44" s="104" t="s">
        <v>27</v>
      </c>
      <c r="AS44" s="105">
        <v>1</v>
      </c>
      <c r="AT44" s="100"/>
      <c r="AU44" s="100"/>
      <c r="AV44" s="100"/>
      <c r="AW44" s="100"/>
      <c r="AX44" s="100"/>
      <c r="AY44" s="100"/>
      <c r="AZ44" s="100"/>
      <c r="BA44" s="100"/>
      <c r="BB44" s="100"/>
      <c r="BC44" s="100"/>
      <c r="BD44" s="100"/>
      <c r="BE44" s="100"/>
      <c r="BF44" s="100"/>
      <c r="BG44" s="100"/>
      <c r="BH44" s="100"/>
      <c r="BI44" s="100"/>
      <c r="BJ44" s="100"/>
      <c r="BK44" s="100"/>
      <c r="BL44" s="100"/>
      <c r="BM44" s="100"/>
      <c r="BN44" s="100"/>
      <c r="BO44" s="100"/>
      <c r="BP44" s="100"/>
      <c r="BQ44" s="100"/>
      <c r="BR44" s="100"/>
      <c r="BS44" s="100"/>
      <c r="BT44" s="26"/>
      <c r="BU44" s="26"/>
      <c r="BV44" s="26"/>
      <c r="BW44" s="26"/>
      <c r="BX44" s="26"/>
      <c r="BY44" s="26"/>
      <c r="BZ44" s="26"/>
      <c r="CA44" s="26"/>
      <c r="CB44" s="26"/>
      <c r="CC44" s="26"/>
      <c r="CD44" s="26"/>
      <c r="CE44" s="26"/>
      <c r="CF44" s="26"/>
      <c r="CG44" s="26"/>
      <c r="CH44" s="26"/>
      <c r="CI44" s="26"/>
      <c r="CJ44" s="26"/>
      <c r="CK44" s="26"/>
      <c r="CL44" s="26"/>
      <c r="CM44" s="26"/>
      <c r="CN44" s="26"/>
      <c r="CO44" s="26"/>
      <c r="CP44" s="26"/>
      <c r="CQ44" s="26"/>
      <c r="CR44" s="26"/>
      <c r="CS44" s="26"/>
      <c r="CT44" s="26"/>
      <c r="CU44" s="26"/>
      <c r="CV44" s="26"/>
      <c r="CW44" s="26"/>
      <c r="CX44" s="26"/>
      <c r="CY44" s="26"/>
      <c r="CZ44" s="26"/>
      <c r="DA44" s="26"/>
      <c r="DB44" s="26"/>
      <c r="DC44" s="26"/>
      <c r="DD44" s="26"/>
      <c r="DE44" s="26"/>
      <c r="DF44" s="26"/>
      <c r="DG44" s="26"/>
      <c r="DH44" s="26"/>
      <c r="DI44" s="26"/>
      <c r="DJ44" s="26"/>
      <c r="DK44" s="26"/>
      <c r="DL44" s="26"/>
      <c r="DM44" s="26"/>
      <c r="DN44" s="26"/>
      <c r="DO44" s="26"/>
      <c r="DP44" s="26"/>
      <c r="DQ44" s="26"/>
      <c r="DR44" s="26"/>
      <c r="DS44" s="26"/>
      <c r="DT44" s="26"/>
      <c r="DU44" s="26"/>
      <c r="DV44" s="26"/>
      <c r="DW44" s="26"/>
      <c r="DX44" s="26"/>
      <c r="DY44" s="26"/>
      <c r="DZ44" s="26"/>
      <c r="EA44" s="26"/>
      <c r="EB44" s="26"/>
      <c r="EC44" s="26"/>
      <c r="ED44" s="26"/>
      <c r="EE44" s="26"/>
      <c r="EF44" s="26"/>
    </row>
    <row r="45" spans="2:136" s="9" customFormat="1">
      <c r="B45" s="37" t="s">
        <v>335</v>
      </c>
      <c r="C45" s="154">
        <v>5</v>
      </c>
      <c r="D45" s="17" t="s">
        <v>43</v>
      </c>
      <c r="E45" s="8" t="s">
        <v>337</v>
      </c>
      <c r="F45" s="21"/>
      <c r="G45" s="21"/>
      <c r="H45" s="21"/>
      <c r="I45" s="22"/>
      <c r="J45" s="201"/>
      <c r="M45" s="26"/>
      <c r="N45" s="26"/>
      <c r="O45" s="26"/>
      <c r="P45" s="26"/>
      <c r="Q45" s="26"/>
      <c r="R45" s="26"/>
      <c r="S45" s="26"/>
      <c r="T45" s="26"/>
      <c r="U45" s="26"/>
      <c r="V45" s="26"/>
      <c r="W45" s="26"/>
      <c r="X45" s="26"/>
      <c r="Y45" s="26"/>
      <c r="Z45" s="26"/>
      <c r="AA45" s="26"/>
      <c r="AB45" s="26"/>
      <c r="AC45" s="26"/>
      <c r="AD45" s="26"/>
      <c r="AE45" s="26"/>
      <c r="AF45" s="26"/>
      <c r="AG45" s="26"/>
      <c r="AH45" s="26"/>
      <c r="AI45" s="26"/>
      <c r="AJ45" s="26"/>
      <c r="AK45" s="26"/>
      <c r="AL45" s="100"/>
      <c r="AM45" s="100"/>
      <c r="AN45" s="100"/>
      <c r="AO45" s="100"/>
      <c r="AP45" s="100"/>
      <c r="AQ45" s="100"/>
      <c r="AR45" s="104" t="s">
        <v>28</v>
      </c>
      <c r="AS45" s="105">
        <v>1</v>
      </c>
      <c r="AT45" s="100"/>
      <c r="AU45" s="100"/>
      <c r="AV45" s="100"/>
      <c r="AW45" s="100"/>
      <c r="AX45" s="100"/>
      <c r="AY45" s="100"/>
      <c r="AZ45" s="100"/>
      <c r="BA45" s="100"/>
      <c r="BB45" s="100"/>
      <c r="BC45" s="100"/>
      <c r="BD45" s="100"/>
      <c r="BE45" s="100"/>
      <c r="BF45" s="100"/>
      <c r="BG45" s="100"/>
      <c r="BH45" s="100"/>
      <c r="BI45" s="100"/>
      <c r="BJ45" s="100"/>
      <c r="BK45" s="100"/>
      <c r="BL45" s="100"/>
      <c r="BM45" s="100"/>
      <c r="BN45" s="100"/>
      <c r="BO45" s="100"/>
      <c r="BP45" s="100"/>
      <c r="BQ45" s="100"/>
      <c r="BR45" s="100"/>
      <c r="BS45" s="100"/>
      <c r="BT45" s="26"/>
      <c r="BU45" s="26"/>
      <c r="BV45" s="26"/>
      <c r="BW45" s="26"/>
      <c r="BX45" s="26"/>
      <c r="BY45" s="26"/>
      <c r="BZ45" s="26"/>
      <c r="CA45" s="26"/>
      <c r="CB45" s="26"/>
      <c r="CC45" s="26"/>
      <c r="CD45" s="26"/>
      <c r="CE45" s="26"/>
      <c r="CF45" s="26"/>
      <c r="CG45" s="26"/>
      <c r="CH45" s="26"/>
      <c r="CI45" s="26"/>
      <c r="CJ45" s="26"/>
      <c r="CK45" s="26"/>
      <c r="CL45" s="26"/>
      <c r="CM45" s="26"/>
      <c r="CN45" s="26"/>
      <c r="CO45" s="26"/>
      <c r="CP45" s="26"/>
      <c r="CQ45" s="26"/>
      <c r="CR45" s="26"/>
      <c r="CS45" s="26"/>
      <c r="CT45" s="26"/>
      <c r="CU45" s="26"/>
      <c r="CV45" s="26"/>
      <c r="CW45" s="26"/>
      <c r="CX45" s="26"/>
      <c r="CY45" s="26"/>
      <c r="CZ45" s="26"/>
      <c r="DA45" s="26"/>
      <c r="DB45" s="26"/>
      <c r="DC45" s="26"/>
      <c r="DD45" s="26"/>
      <c r="DE45" s="26"/>
      <c r="DF45" s="26"/>
      <c r="DG45" s="26"/>
      <c r="DH45" s="26"/>
      <c r="DI45" s="26"/>
      <c r="DJ45" s="26"/>
      <c r="DK45" s="26"/>
      <c r="DL45" s="26"/>
      <c r="DM45" s="26"/>
      <c r="DN45" s="26"/>
      <c r="DO45" s="26"/>
      <c r="DP45" s="26"/>
      <c r="DQ45" s="26"/>
      <c r="DR45" s="26"/>
      <c r="DS45" s="26"/>
      <c r="DT45" s="26"/>
      <c r="DU45" s="26"/>
      <c r="DV45" s="26"/>
      <c r="DW45" s="26"/>
      <c r="DX45" s="26"/>
      <c r="DY45" s="26"/>
      <c r="DZ45" s="26"/>
      <c r="EA45" s="26"/>
      <c r="EB45" s="26"/>
      <c r="EC45" s="26"/>
      <c r="ED45" s="26"/>
      <c r="EE45" s="26"/>
      <c r="EF45" s="26"/>
    </row>
    <row r="46" spans="2:136" s="9" customFormat="1">
      <c r="B46" s="37" t="s">
        <v>339</v>
      </c>
      <c r="C46" s="151">
        <v>5</v>
      </c>
      <c r="D46" s="17" t="s">
        <v>43</v>
      </c>
      <c r="E46" s="8" t="s">
        <v>338</v>
      </c>
      <c r="F46" s="21"/>
      <c r="G46" s="21"/>
      <c r="H46" s="21"/>
      <c r="I46" s="22"/>
      <c r="J46" s="201"/>
      <c r="M46" s="26"/>
      <c r="N46" s="26"/>
      <c r="O46" s="26"/>
      <c r="P46" s="26"/>
      <c r="Q46" s="26"/>
      <c r="R46" s="26"/>
      <c r="S46" s="26"/>
      <c r="T46" s="26"/>
      <c r="U46" s="26"/>
      <c r="V46" s="26"/>
      <c r="W46" s="26"/>
      <c r="X46" s="26"/>
      <c r="Y46" s="26"/>
      <c r="Z46" s="26"/>
      <c r="AA46" s="26"/>
      <c r="AB46" s="26"/>
      <c r="AC46" s="26"/>
      <c r="AD46" s="26"/>
      <c r="AE46" s="26"/>
      <c r="AF46" s="26"/>
      <c r="AG46" s="26"/>
      <c r="AH46" s="26"/>
      <c r="AI46" s="26"/>
      <c r="AJ46" s="26"/>
      <c r="AK46" s="26"/>
      <c r="AL46" s="100"/>
      <c r="AM46" s="100"/>
      <c r="AN46" s="100"/>
      <c r="AO46" s="100"/>
      <c r="AP46" s="100"/>
      <c r="AQ46" s="100"/>
      <c r="AR46" s="104" t="s">
        <v>15</v>
      </c>
      <c r="AS46" s="105">
        <v>1</v>
      </c>
      <c r="AT46" s="100"/>
      <c r="AU46" s="100"/>
      <c r="AV46" s="100"/>
      <c r="AW46" s="100"/>
      <c r="AX46" s="100"/>
      <c r="AY46" s="100"/>
      <c r="AZ46" s="100"/>
      <c r="BA46" s="100"/>
      <c r="BB46" s="100"/>
      <c r="BC46" s="100"/>
      <c r="BD46" s="100"/>
      <c r="BE46" s="100"/>
      <c r="BF46" s="100"/>
      <c r="BG46" s="100"/>
      <c r="BH46" s="100"/>
      <c r="BI46" s="100"/>
      <c r="BJ46" s="100"/>
      <c r="BK46" s="100"/>
      <c r="BL46" s="100"/>
      <c r="BM46" s="100"/>
      <c r="BN46" s="100"/>
      <c r="BO46" s="100"/>
      <c r="BP46" s="100"/>
      <c r="BQ46" s="100"/>
      <c r="BR46" s="100"/>
      <c r="BS46" s="100"/>
      <c r="BT46" s="26"/>
      <c r="BU46" s="26"/>
      <c r="BV46" s="26"/>
      <c r="BW46" s="26"/>
      <c r="BX46" s="26"/>
      <c r="BY46" s="26"/>
      <c r="BZ46" s="26"/>
      <c r="CA46" s="26"/>
      <c r="CB46" s="26"/>
      <c r="CC46" s="26"/>
      <c r="CD46" s="26"/>
      <c r="CE46" s="26"/>
      <c r="CF46" s="26"/>
      <c r="CG46" s="26"/>
      <c r="CH46" s="26"/>
      <c r="CI46" s="26"/>
      <c r="CJ46" s="26"/>
      <c r="CK46" s="26"/>
      <c r="CL46" s="26"/>
      <c r="CM46" s="26"/>
      <c r="CN46" s="26"/>
      <c r="CO46" s="26"/>
      <c r="CP46" s="26"/>
      <c r="CQ46" s="26"/>
      <c r="CR46" s="26"/>
      <c r="CS46" s="26"/>
      <c r="CT46" s="26"/>
      <c r="CU46" s="26"/>
      <c r="CV46" s="26"/>
      <c r="CW46" s="26"/>
      <c r="CX46" s="26"/>
      <c r="CY46" s="26"/>
      <c r="CZ46" s="26"/>
      <c r="DA46" s="26"/>
      <c r="DB46" s="26"/>
      <c r="DC46" s="26"/>
      <c r="DD46" s="26"/>
      <c r="DE46" s="26"/>
      <c r="DF46" s="26"/>
      <c r="DG46" s="26"/>
      <c r="DH46" s="26"/>
      <c r="DI46" s="26"/>
      <c r="DJ46" s="26"/>
      <c r="DK46" s="26"/>
      <c r="DL46" s="26"/>
      <c r="DM46" s="26"/>
      <c r="DN46" s="26"/>
      <c r="DO46" s="26"/>
      <c r="DP46" s="26"/>
      <c r="DQ46" s="26"/>
      <c r="DR46" s="26"/>
      <c r="DS46" s="26"/>
      <c r="DT46" s="26"/>
      <c r="DU46" s="26"/>
      <c r="DV46" s="26"/>
      <c r="DW46" s="26"/>
      <c r="DX46" s="26"/>
      <c r="DY46" s="26"/>
      <c r="DZ46" s="26"/>
      <c r="EA46" s="26"/>
      <c r="EB46" s="26"/>
      <c r="EC46" s="26"/>
      <c r="ED46" s="26"/>
      <c r="EE46" s="26"/>
      <c r="EF46" s="26"/>
    </row>
    <row r="47" spans="2:136">
      <c r="B47" s="14" t="s">
        <v>14</v>
      </c>
      <c r="C47" s="204" t="s">
        <v>26</v>
      </c>
      <c r="D47" s="205"/>
      <c r="E47" s="175" t="s">
        <v>247</v>
      </c>
      <c r="F47" s="176"/>
      <c r="G47" s="176"/>
      <c r="H47" s="176"/>
      <c r="I47" s="177"/>
      <c r="J47" s="201"/>
      <c r="AR47" s="104" t="s">
        <v>29</v>
      </c>
      <c r="AS47" s="105">
        <v>0.9</v>
      </c>
    </row>
    <row r="48" spans="2:136">
      <c r="B48" s="14" t="s">
        <v>16</v>
      </c>
      <c r="C48" s="16">
        <f>IF(C47="","",INDEX($AS$43:$AS$47,MATCH(C47,$AR$43:$AR$47,0)))</f>
        <v>1.1000000000000001</v>
      </c>
      <c r="D48" s="65" t="s">
        <v>5</v>
      </c>
      <c r="E48" s="176" t="s">
        <v>17</v>
      </c>
      <c r="F48" s="176"/>
      <c r="G48" s="176"/>
      <c r="H48" s="176"/>
      <c r="I48" s="177"/>
      <c r="J48" s="201"/>
      <c r="AR48" s="101"/>
    </row>
    <row r="49" spans="2:136">
      <c r="B49" s="14" t="s">
        <v>340</v>
      </c>
      <c r="C49" s="155">
        <v>4</v>
      </c>
      <c r="D49" s="65" t="s">
        <v>10</v>
      </c>
      <c r="E49" s="175" t="s">
        <v>248</v>
      </c>
      <c r="F49" s="176"/>
      <c r="G49" s="176"/>
      <c r="H49" s="176"/>
      <c r="I49" s="177"/>
      <c r="J49" s="201"/>
      <c r="AR49" s="101" t="s">
        <v>23</v>
      </c>
      <c r="AS49" s="106">
        <v>1.1000000000000001</v>
      </c>
    </row>
    <row r="50" spans="2:136">
      <c r="B50" s="14" t="s">
        <v>341</v>
      </c>
      <c r="C50" s="113">
        <v>10</v>
      </c>
      <c r="D50" s="65" t="s">
        <v>10</v>
      </c>
      <c r="E50" s="180" t="s">
        <v>212</v>
      </c>
      <c r="F50" s="181"/>
      <c r="G50" s="181"/>
      <c r="H50" s="181"/>
      <c r="I50" s="182"/>
      <c r="J50" s="201"/>
      <c r="AR50" s="101" t="s">
        <v>30</v>
      </c>
      <c r="AS50" s="106">
        <v>1.1000000000000001</v>
      </c>
    </row>
    <row r="51" spans="2:136" s="9" customFormat="1">
      <c r="B51" s="14" t="s">
        <v>347</v>
      </c>
      <c r="C51" s="156"/>
      <c r="D51" s="65" t="s">
        <v>5</v>
      </c>
      <c r="E51" s="33" t="s">
        <v>215</v>
      </c>
      <c r="F51" s="33"/>
      <c r="G51" s="33"/>
      <c r="H51" s="33"/>
      <c r="I51" s="34"/>
      <c r="J51" s="201"/>
      <c r="M51" s="26"/>
      <c r="N51" s="26"/>
      <c r="O51" s="26"/>
      <c r="P51" s="26"/>
      <c r="Q51" s="26"/>
      <c r="R51" s="26"/>
      <c r="S51" s="26"/>
      <c r="T51" s="26"/>
      <c r="U51" s="26"/>
      <c r="V51" s="26"/>
      <c r="W51" s="26"/>
      <c r="X51" s="26"/>
      <c r="Y51" s="26"/>
      <c r="Z51" s="26"/>
      <c r="AA51" s="26"/>
      <c r="AB51" s="26"/>
      <c r="AC51" s="26"/>
      <c r="AD51" s="26"/>
      <c r="AE51" s="26"/>
      <c r="AF51" s="26"/>
      <c r="AG51" s="26"/>
      <c r="AH51" s="26"/>
      <c r="AI51" s="26"/>
      <c r="AJ51" s="26"/>
      <c r="AK51" s="26"/>
      <c r="AL51" s="100"/>
      <c r="AM51" s="100"/>
      <c r="AN51" s="100"/>
      <c r="AO51" s="100"/>
      <c r="AP51" s="100"/>
      <c r="AQ51" s="100"/>
      <c r="AR51" s="101" t="s">
        <v>31</v>
      </c>
      <c r="AS51" s="106">
        <v>1.2</v>
      </c>
      <c r="AT51" s="100"/>
      <c r="AU51" s="100"/>
      <c r="AV51" s="100"/>
      <c r="AW51" s="100"/>
      <c r="AX51" s="100"/>
      <c r="AY51" s="100"/>
      <c r="AZ51" s="100"/>
      <c r="BA51" s="100"/>
      <c r="BB51" s="100"/>
      <c r="BC51" s="100"/>
      <c r="BD51" s="100"/>
      <c r="BE51" s="100"/>
      <c r="BF51" s="100"/>
      <c r="BG51" s="100"/>
      <c r="BH51" s="100"/>
      <c r="BI51" s="100"/>
      <c r="BJ51" s="100"/>
      <c r="BK51" s="100"/>
      <c r="BL51" s="100"/>
      <c r="BM51" s="100"/>
      <c r="BN51" s="100"/>
      <c r="BO51" s="100"/>
      <c r="BP51" s="100"/>
      <c r="BQ51" s="100"/>
      <c r="BR51" s="100"/>
      <c r="BS51" s="100"/>
      <c r="BT51" s="26"/>
      <c r="BU51" s="26"/>
      <c r="BV51" s="26"/>
      <c r="BW51" s="26"/>
      <c r="BX51" s="26"/>
      <c r="BY51" s="26"/>
      <c r="BZ51" s="26"/>
      <c r="CA51" s="26"/>
      <c r="CB51" s="26"/>
      <c r="CC51" s="26"/>
      <c r="CD51" s="26"/>
      <c r="CE51" s="26"/>
      <c r="CF51" s="26"/>
      <c r="CG51" s="26"/>
      <c r="CH51" s="26"/>
      <c r="CI51" s="26"/>
      <c r="CJ51" s="26"/>
      <c r="CK51" s="26"/>
      <c r="CL51" s="26"/>
      <c r="CM51" s="26"/>
      <c r="CN51" s="26"/>
      <c r="CO51" s="26"/>
      <c r="CP51" s="26"/>
      <c r="CQ51" s="26"/>
      <c r="CR51" s="26"/>
      <c r="CS51" s="26"/>
      <c r="CT51" s="26"/>
      <c r="CU51" s="26"/>
      <c r="CV51" s="26"/>
      <c r="CW51" s="26"/>
      <c r="CX51" s="26"/>
      <c r="CY51" s="26"/>
      <c r="CZ51" s="26"/>
      <c r="DA51" s="26"/>
      <c r="DB51" s="26"/>
      <c r="DC51" s="26"/>
      <c r="DD51" s="26"/>
      <c r="DE51" s="26"/>
      <c r="DF51" s="26"/>
      <c r="DG51" s="26"/>
      <c r="DH51" s="26"/>
      <c r="DI51" s="26"/>
      <c r="DJ51" s="26"/>
      <c r="DK51" s="26"/>
      <c r="DL51" s="26"/>
      <c r="DM51" s="26"/>
      <c r="DN51" s="26"/>
      <c r="DO51" s="26"/>
      <c r="DP51" s="26"/>
      <c r="DQ51" s="26"/>
      <c r="DR51" s="26"/>
      <c r="DS51" s="26"/>
      <c r="DT51" s="26"/>
      <c r="DU51" s="26"/>
      <c r="DV51" s="26"/>
      <c r="DW51" s="26"/>
      <c r="DX51" s="26"/>
      <c r="DY51" s="26"/>
      <c r="DZ51" s="26"/>
      <c r="EA51" s="26"/>
      <c r="EB51" s="26"/>
      <c r="EC51" s="26"/>
      <c r="ED51" s="26"/>
      <c r="EE51" s="26"/>
      <c r="EF51" s="26"/>
    </row>
    <row r="52" spans="2:136">
      <c r="B52" s="14" t="s">
        <v>199</v>
      </c>
      <c r="C52" s="155"/>
      <c r="D52" s="65" t="s">
        <v>10</v>
      </c>
      <c r="E52" s="176" t="s">
        <v>214</v>
      </c>
      <c r="F52" s="176"/>
      <c r="G52" s="176"/>
      <c r="H52" s="176"/>
      <c r="I52" s="177"/>
      <c r="J52" s="201"/>
      <c r="AR52" s="101" t="s">
        <v>32</v>
      </c>
      <c r="AS52" s="106">
        <v>1.3</v>
      </c>
    </row>
    <row r="53" spans="2:136">
      <c r="B53" s="14" t="s">
        <v>18</v>
      </c>
      <c r="C53" s="109">
        <v>0</v>
      </c>
      <c r="D53" s="65" t="s">
        <v>19</v>
      </c>
      <c r="E53" s="175" t="s">
        <v>473</v>
      </c>
      <c r="F53" s="176"/>
      <c r="G53" s="176"/>
      <c r="H53" s="176"/>
      <c r="I53" s="177"/>
      <c r="J53" s="201"/>
    </row>
    <row r="54" spans="2:136">
      <c r="B54" s="14" t="s">
        <v>20</v>
      </c>
      <c r="C54" s="114">
        <f>IF(C53="","",IF(C53=0,1,(COS(RADIANS(C53))+C49*SIN(RADIANS(C53)))^0.65))</f>
        <v>1</v>
      </c>
      <c r="D54" s="65" t="s">
        <v>5</v>
      </c>
      <c r="E54" s="53" t="s">
        <v>21</v>
      </c>
      <c r="F54" s="53"/>
      <c r="G54" s="53"/>
      <c r="H54" s="53"/>
      <c r="I54" s="54"/>
      <c r="J54" s="201"/>
      <c r="AR54" s="103" t="s">
        <v>219</v>
      </c>
    </row>
    <row r="55" spans="2:136">
      <c r="B55" s="14" t="s">
        <v>22</v>
      </c>
      <c r="C55" s="183" t="s">
        <v>31</v>
      </c>
      <c r="D55" s="184"/>
      <c r="E55" s="175" t="s">
        <v>619</v>
      </c>
      <c r="F55" s="176"/>
      <c r="G55" s="176"/>
      <c r="H55" s="176"/>
      <c r="I55" s="177"/>
      <c r="J55" s="201"/>
      <c r="AR55" s="103" t="s">
        <v>218</v>
      </c>
    </row>
    <row r="56" spans="2:136">
      <c r="B56" s="14" t="s">
        <v>24</v>
      </c>
      <c r="C56" s="55">
        <f>IF(C55="","",INDEX($AS$49:$AS$52,MATCH(C55,$AR$49:$AR$52,0)))</f>
        <v>1.2</v>
      </c>
      <c r="D56" s="65" t="s">
        <v>5</v>
      </c>
      <c r="E56" s="175" t="s">
        <v>25</v>
      </c>
      <c r="F56" s="176"/>
      <c r="G56" s="176"/>
      <c r="H56" s="176"/>
      <c r="I56" s="177"/>
      <c r="J56" s="201"/>
    </row>
    <row r="57" spans="2:136" s="9" customFormat="1">
      <c r="B57" s="14" t="s">
        <v>217</v>
      </c>
      <c r="C57" s="199" t="s">
        <v>219</v>
      </c>
      <c r="D57" s="199"/>
      <c r="E57" s="30" t="s">
        <v>221</v>
      </c>
      <c r="F57" s="31"/>
      <c r="G57" s="31"/>
      <c r="H57" s="31"/>
      <c r="I57" s="32"/>
      <c r="J57" s="201"/>
      <c r="M57" s="26"/>
      <c r="N57" s="26"/>
      <c r="O57" s="26"/>
      <c r="P57" s="26"/>
      <c r="Q57" s="26"/>
      <c r="R57" s="26"/>
      <c r="S57" s="26"/>
      <c r="T57" s="26"/>
      <c r="U57" s="26"/>
      <c r="V57" s="26"/>
      <c r="W57" s="26"/>
      <c r="X57" s="26"/>
      <c r="Y57" s="26"/>
      <c r="Z57" s="26"/>
      <c r="AA57" s="26"/>
      <c r="AB57" s="26"/>
      <c r="AC57" s="26"/>
      <c r="AD57" s="26"/>
      <c r="AE57" s="26"/>
      <c r="AF57" s="26"/>
      <c r="AG57" s="26"/>
      <c r="AH57" s="26"/>
      <c r="AI57" s="26"/>
      <c r="AJ57" s="26"/>
      <c r="AK57" s="26"/>
      <c r="AL57" s="100"/>
      <c r="AM57" s="100"/>
      <c r="AN57" s="100"/>
      <c r="AO57" s="100"/>
      <c r="AP57" s="100"/>
      <c r="AQ57" s="100"/>
      <c r="AR57" s="100" t="s">
        <v>479</v>
      </c>
      <c r="AS57" s="100"/>
      <c r="AT57" s="100"/>
      <c r="AU57" s="100"/>
      <c r="AV57" s="100"/>
      <c r="AW57" s="100"/>
      <c r="AX57" s="100"/>
      <c r="AY57" s="100"/>
      <c r="AZ57" s="100"/>
      <c r="BA57" s="100"/>
      <c r="BB57" s="100"/>
      <c r="BC57" s="100"/>
      <c r="BD57" s="100"/>
      <c r="BE57" s="100"/>
      <c r="BF57" s="100"/>
      <c r="BG57" s="100"/>
      <c r="BH57" s="100"/>
      <c r="BI57" s="100"/>
      <c r="BJ57" s="100"/>
      <c r="BK57" s="100"/>
      <c r="BL57" s="100"/>
      <c r="BM57" s="100"/>
      <c r="BN57" s="100"/>
      <c r="BO57" s="100"/>
      <c r="BP57" s="100"/>
      <c r="BQ57" s="100"/>
      <c r="BR57" s="100"/>
      <c r="BS57" s="100"/>
      <c r="BT57" s="26"/>
      <c r="BU57" s="26"/>
      <c r="BV57" s="26"/>
      <c r="BW57" s="26"/>
      <c r="BX57" s="26"/>
      <c r="BY57" s="26"/>
      <c r="BZ57" s="26"/>
      <c r="CA57" s="26"/>
      <c r="CB57" s="26"/>
      <c r="CC57" s="26"/>
      <c r="CD57" s="26"/>
      <c r="CE57" s="26"/>
      <c r="CF57" s="26"/>
      <c r="CG57" s="26"/>
      <c r="CH57" s="26"/>
      <c r="CI57" s="26"/>
      <c r="CJ57" s="26"/>
      <c r="CK57" s="26"/>
      <c r="CL57" s="26"/>
      <c r="CM57" s="26"/>
      <c r="CN57" s="26"/>
      <c r="CO57" s="26"/>
      <c r="CP57" s="26"/>
      <c r="CQ57" s="26"/>
      <c r="CR57" s="26"/>
      <c r="CS57" s="26"/>
      <c r="CT57" s="26"/>
      <c r="CU57" s="26"/>
      <c r="CV57" s="26"/>
      <c r="CW57" s="26"/>
      <c r="CX57" s="26"/>
      <c r="CY57" s="26"/>
      <c r="CZ57" s="26"/>
      <c r="DA57" s="26"/>
      <c r="DB57" s="26"/>
      <c r="DC57" s="26"/>
      <c r="DD57" s="26"/>
      <c r="DE57" s="26"/>
      <c r="DF57" s="26"/>
      <c r="DG57" s="26"/>
      <c r="DH57" s="26"/>
      <c r="DI57" s="26"/>
      <c r="DJ57" s="26"/>
      <c r="DK57" s="26"/>
      <c r="DL57" s="26"/>
      <c r="DM57" s="26"/>
      <c r="DN57" s="26"/>
      <c r="DO57" s="26"/>
      <c r="DP57" s="26"/>
      <c r="DQ57" s="26"/>
      <c r="DR57" s="26"/>
      <c r="DS57" s="26"/>
      <c r="DT57" s="26"/>
      <c r="DU57" s="26"/>
      <c r="DV57" s="26"/>
      <c r="DW57" s="26"/>
      <c r="DX57" s="26"/>
      <c r="DY57" s="26"/>
      <c r="DZ57" s="26"/>
      <c r="EA57" s="26"/>
      <c r="EB57" s="26"/>
      <c r="EC57" s="26"/>
      <c r="ED57" s="26"/>
      <c r="EE57" s="26"/>
      <c r="EF57" s="26"/>
    </row>
    <row r="58" spans="2:136" s="9" customFormat="1">
      <c r="B58" s="14" t="s">
        <v>200</v>
      </c>
      <c r="C58" s="109"/>
      <c r="D58" s="65" t="s">
        <v>10</v>
      </c>
      <c r="E58" s="8" t="s">
        <v>249</v>
      </c>
      <c r="F58" s="21"/>
      <c r="G58" s="21"/>
      <c r="H58" s="21"/>
      <c r="I58" s="22"/>
      <c r="J58" s="201"/>
      <c r="M58" s="26"/>
      <c r="N58" s="26"/>
      <c r="O58" s="26"/>
      <c r="P58" s="26"/>
      <c r="Q58" s="26"/>
      <c r="R58" s="26"/>
      <c r="S58" s="26"/>
      <c r="T58" s="26"/>
      <c r="U58" s="26"/>
      <c r="V58" s="26"/>
      <c r="W58" s="26"/>
      <c r="X58" s="26"/>
      <c r="Y58" s="26"/>
      <c r="Z58" s="26"/>
      <c r="AA58" s="26"/>
      <c r="AB58" s="26"/>
      <c r="AC58" s="26"/>
      <c r="AD58" s="26"/>
      <c r="AE58" s="26"/>
      <c r="AF58" s="26"/>
      <c r="AG58" s="26"/>
      <c r="AH58" s="26"/>
      <c r="AI58" s="26"/>
      <c r="AJ58" s="26"/>
      <c r="AK58" s="26"/>
      <c r="AL58" s="100"/>
      <c r="AM58" s="100"/>
      <c r="AN58" s="100"/>
      <c r="AO58" s="100"/>
      <c r="AP58" s="100"/>
      <c r="AQ58" s="100"/>
      <c r="AR58" s="100" t="s">
        <v>478</v>
      </c>
      <c r="AS58" s="100"/>
      <c r="AT58" s="100"/>
      <c r="AU58" s="100"/>
      <c r="AV58" s="100"/>
      <c r="AW58" s="100"/>
      <c r="AX58" s="100"/>
      <c r="AY58" s="100"/>
      <c r="AZ58" s="100"/>
      <c r="BA58" s="100"/>
      <c r="BB58" s="100"/>
      <c r="BC58" s="100"/>
      <c r="BD58" s="100"/>
      <c r="BE58" s="100"/>
      <c r="BF58" s="100"/>
      <c r="BG58" s="100"/>
      <c r="BH58" s="100"/>
      <c r="BI58" s="100"/>
      <c r="BJ58" s="100"/>
      <c r="BK58" s="100"/>
      <c r="BL58" s="100"/>
      <c r="BM58" s="100"/>
      <c r="BN58" s="100"/>
      <c r="BO58" s="100"/>
      <c r="BP58" s="100"/>
      <c r="BQ58" s="100"/>
      <c r="BR58" s="100"/>
      <c r="BS58" s="100"/>
      <c r="BT58" s="26"/>
      <c r="BU58" s="26"/>
      <c r="BV58" s="26"/>
      <c r="BW58" s="26"/>
      <c r="BX58" s="26"/>
      <c r="BY58" s="26"/>
      <c r="BZ58" s="26"/>
      <c r="CA58" s="26"/>
      <c r="CB58" s="26"/>
      <c r="CC58" s="26"/>
      <c r="CD58" s="26"/>
      <c r="CE58" s="26"/>
      <c r="CF58" s="26"/>
      <c r="CG58" s="26"/>
      <c r="CH58" s="26"/>
      <c r="CI58" s="26"/>
      <c r="CJ58" s="26"/>
      <c r="CK58" s="26"/>
      <c r="CL58" s="26"/>
      <c r="CM58" s="26"/>
      <c r="CN58" s="26"/>
      <c r="CO58" s="26"/>
      <c r="CP58" s="26"/>
      <c r="CQ58" s="26"/>
      <c r="CR58" s="26"/>
      <c r="CS58" s="26"/>
      <c r="CT58" s="26"/>
      <c r="CU58" s="26"/>
      <c r="CV58" s="26"/>
      <c r="CW58" s="26"/>
      <c r="CX58" s="26"/>
      <c r="CY58" s="26"/>
      <c r="CZ58" s="26"/>
      <c r="DA58" s="26"/>
      <c r="DB58" s="26"/>
      <c r="DC58" s="26"/>
      <c r="DD58" s="26"/>
      <c r="DE58" s="26"/>
      <c r="DF58" s="26"/>
      <c r="DG58" s="26"/>
      <c r="DH58" s="26"/>
      <c r="DI58" s="26"/>
      <c r="DJ58" s="26"/>
      <c r="DK58" s="26"/>
      <c r="DL58" s="26"/>
      <c r="DM58" s="26"/>
      <c r="DN58" s="26"/>
      <c r="DO58" s="26"/>
      <c r="DP58" s="26"/>
      <c r="DQ58" s="26"/>
      <c r="DR58" s="26"/>
      <c r="DS58" s="26"/>
      <c r="DT58" s="26"/>
      <c r="DU58" s="26"/>
      <c r="DV58" s="26"/>
      <c r="DW58" s="26"/>
      <c r="DX58" s="26"/>
      <c r="DY58" s="26"/>
      <c r="DZ58" s="26"/>
      <c r="EA58" s="26"/>
      <c r="EB58" s="26"/>
      <c r="EC58" s="26"/>
      <c r="ED58" s="26"/>
      <c r="EE58" s="26"/>
      <c r="EF58" s="26"/>
    </row>
    <row r="59" spans="2:136" s="9" customFormat="1">
      <c r="B59" s="14" t="s">
        <v>201</v>
      </c>
      <c r="C59" s="109"/>
      <c r="D59" s="65" t="s">
        <v>10</v>
      </c>
      <c r="E59" s="8" t="s">
        <v>250</v>
      </c>
      <c r="F59" s="21"/>
      <c r="G59" s="21"/>
      <c r="H59" s="21"/>
      <c r="I59" s="22"/>
      <c r="J59" s="201"/>
      <c r="M59" s="26"/>
      <c r="N59" s="26"/>
      <c r="O59" s="26"/>
      <c r="P59" s="26"/>
      <c r="Q59" s="26"/>
      <c r="R59" s="26"/>
      <c r="S59" s="26"/>
      <c r="T59" s="26"/>
      <c r="U59" s="26"/>
      <c r="V59" s="26"/>
      <c r="W59" s="26"/>
      <c r="X59" s="26"/>
      <c r="Y59" s="26"/>
      <c r="Z59" s="26"/>
      <c r="AA59" s="26"/>
      <c r="AB59" s="26"/>
      <c r="AC59" s="26"/>
      <c r="AD59" s="26"/>
      <c r="AE59" s="26"/>
      <c r="AF59" s="26"/>
      <c r="AG59" s="26"/>
      <c r="AH59" s="26"/>
      <c r="AI59" s="26"/>
      <c r="AJ59" s="26"/>
      <c r="AK59" s="26"/>
      <c r="AL59" s="100"/>
      <c r="AM59" s="100"/>
      <c r="AN59" s="100"/>
      <c r="AO59" s="100"/>
      <c r="AP59" s="100"/>
      <c r="AQ59" s="100"/>
      <c r="AR59" s="100"/>
      <c r="AS59" s="100"/>
      <c r="AT59" s="100"/>
      <c r="AU59" s="100"/>
      <c r="AV59" s="100"/>
      <c r="AW59" s="100"/>
      <c r="AX59" s="100"/>
      <c r="AY59" s="100"/>
      <c r="AZ59" s="100"/>
      <c r="BA59" s="100"/>
      <c r="BB59" s="100"/>
      <c r="BC59" s="100"/>
      <c r="BD59" s="100"/>
      <c r="BE59" s="100"/>
      <c r="BF59" s="100"/>
      <c r="BG59" s="100"/>
      <c r="BH59" s="100"/>
      <c r="BI59" s="100"/>
      <c r="BJ59" s="100"/>
      <c r="BK59" s="100"/>
      <c r="BL59" s="100"/>
      <c r="BM59" s="100"/>
      <c r="BN59" s="100"/>
      <c r="BO59" s="100"/>
      <c r="BP59" s="100"/>
      <c r="BQ59" s="100"/>
      <c r="BR59" s="100"/>
      <c r="BS59" s="100"/>
      <c r="BT59" s="26"/>
      <c r="BU59" s="26"/>
      <c r="BV59" s="26"/>
      <c r="BW59" s="26"/>
      <c r="BX59" s="26"/>
      <c r="BY59" s="26"/>
      <c r="BZ59" s="26"/>
      <c r="CA59" s="26"/>
      <c r="CB59" s="26"/>
      <c r="CC59" s="26"/>
      <c r="CD59" s="26"/>
      <c r="CE59" s="26"/>
      <c r="CF59" s="26"/>
      <c r="CG59" s="26"/>
      <c r="CH59" s="26"/>
      <c r="CI59" s="26"/>
      <c r="CJ59" s="26"/>
      <c r="CK59" s="26"/>
      <c r="CL59" s="26"/>
      <c r="CM59" s="26"/>
      <c r="CN59" s="26"/>
      <c r="CO59" s="26"/>
      <c r="CP59" s="26"/>
      <c r="CQ59" s="26"/>
      <c r="CR59" s="26"/>
      <c r="CS59" s="26"/>
      <c r="CT59" s="26"/>
      <c r="CU59" s="26"/>
      <c r="CV59" s="26"/>
      <c r="CW59" s="26"/>
      <c r="CX59" s="26"/>
      <c r="CY59" s="26"/>
      <c r="CZ59" s="26"/>
      <c r="DA59" s="26"/>
      <c r="DB59" s="26"/>
      <c r="DC59" s="26"/>
      <c r="DD59" s="26"/>
      <c r="DE59" s="26"/>
      <c r="DF59" s="26"/>
      <c r="DG59" s="26"/>
      <c r="DH59" s="26"/>
      <c r="DI59" s="26"/>
      <c r="DJ59" s="26"/>
      <c r="DK59" s="26"/>
      <c r="DL59" s="26"/>
      <c r="DM59" s="26"/>
      <c r="DN59" s="26"/>
      <c r="DO59" s="26"/>
      <c r="DP59" s="26"/>
      <c r="DQ59" s="26"/>
      <c r="DR59" s="26"/>
      <c r="DS59" s="26"/>
      <c r="DT59" s="26"/>
      <c r="DU59" s="26"/>
      <c r="DV59" s="26"/>
      <c r="DW59" s="26"/>
      <c r="DX59" s="26"/>
      <c r="DY59" s="26"/>
      <c r="DZ59" s="26"/>
      <c r="EA59" s="26"/>
      <c r="EB59" s="26"/>
      <c r="EC59" s="26"/>
      <c r="ED59" s="26"/>
      <c r="EE59" s="26"/>
      <c r="EF59" s="26"/>
    </row>
    <row r="60" spans="2:136" s="9" customFormat="1">
      <c r="B60" s="14" t="s">
        <v>480</v>
      </c>
      <c r="C60" s="206"/>
      <c r="D60" s="207"/>
      <c r="E60" s="115" t="s">
        <v>481</v>
      </c>
      <c r="F60" s="116"/>
      <c r="G60" s="116"/>
      <c r="H60" s="116"/>
      <c r="I60" s="117"/>
      <c r="J60" s="201"/>
      <c r="M60" s="26"/>
      <c r="N60" s="26"/>
      <c r="O60" s="26"/>
      <c r="P60" s="26"/>
      <c r="Q60" s="26"/>
      <c r="R60" s="26"/>
      <c r="S60" s="26"/>
      <c r="T60" s="26"/>
      <c r="U60" s="26"/>
      <c r="V60" s="26"/>
      <c r="W60" s="26"/>
      <c r="X60" s="26"/>
      <c r="Y60" s="26"/>
      <c r="Z60" s="26"/>
      <c r="AA60" s="26"/>
      <c r="AB60" s="26"/>
      <c r="AC60" s="26"/>
      <c r="AD60" s="26"/>
      <c r="AE60" s="26"/>
      <c r="AF60" s="26"/>
      <c r="AG60" s="26"/>
      <c r="AH60" s="26"/>
      <c r="AI60" s="26"/>
      <c r="AJ60" s="26"/>
      <c r="AK60" s="26"/>
      <c r="AL60" s="100"/>
      <c r="AM60" s="100"/>
      <c r="AN60" s="100"/>
      <c r="AO60" s="100"/>
      <c r="AP60" s="100"/>
      <c r="AQ60" s="100"/>
      <c r="AR60" s="100"/>
      <c r="AS60" s="100"/>
      <c r="AT60" s="100"/>
      <c r="AU60" s="100"/>
      <c r="AV60" s="100"/>
      <c r="AW60" s="100"/>
      <c r="AX60" s="100"/>
      <c r="AY60" s="100"/>
      <c r="AZ60" s="100"/>
      <c r="BA60" s="100"/>
      <c r="BB60" s="100"/>
      <c r="BC60" s="100"/>
      <c r="BD60" s="100"/>
      <c r="BE60" s="100"/>
      <c r="BF60" s="100"/>
      <c r="BG60" s="100"/>
      <c r="BH60" s="100"/>
      <c r="BI60" s="100"/>
      <c r="BJ60" s="100"/>
      <c r="BK60" s="100"/>
      <c r="BL60" s="100"/>
      <c r="BM60" s="100"/>
      <c r="BN60" s="100"/>
      <c r="BO60" s="100"/>
      <c r="BP60" s="100"/>
      <c r="BQ60" s="100"/>
      <c r="BR60" s="100"/>
      <c r="BS60" s="100"/>
      <c r="BT60" s="26"/>
      <c r="BU60" s="26"/>
      <c r="BV60" s="26"/>
      <c r="BW60" s="26"/>
      <c r="BX60" s="26"/>
      <c r="BY60" s="26"/>
      <c r="BZ60" s="26"/>
      <c r="CA60" s="26"/>
      <c r="CB60" s="26"/>
      <c r="CC60" s="26"/>
      <c r="CD60" s="26"/>
      <c r="CE60" s="26"/>
      <c r="CF60" s="26"/>
      <c r="CG60" s="26"/>
      <c r="CH60" s="26"/>
      <c r="CI60" s="26"/>
      <c r="CJ60" s="26"/>
      <c r="CK60" s="26"/>
      <c r="CL60" s="26"/>
      <c r="CM60" s="26"/>
      <c r="CN60" s="26"/>
      <c r="CO60" s="26"/>
      <c r="CP60" s="26"/>
      <c r="CQ60" s="26"/>
      <c r="CR60" s="26"/>
      <c r="CS60" s="26"/>
      <c r="CT60" s="26"/>
      <c r="CU60" s="26"/>
      <c r="CV60" s="26"/>
      <c r="CW60" s="26"/>
      <c r="CX60" s="26"/>
      <c r="CY60" s="26"/>
      <c r="CZ60" s="26"/>
      <c r="DA60" s="26"/>
      <c r="DB60" s="26"/>
      <c r="DC60" s="26"/>
      <c r="DD60" s="26"/>
      <c r="DE60" s="26"/>
      <c r="DF60" s="26"/>
      <c r="DG60" s="26"/>
      <c r="DH60" s="26"/>
      <c r="DI60" s="26"/>
      <c r="DJ60" s="26"/>
      <c r="DK60" s="26"/>
      <c r="DL60" s="26"/>
      <c r="DM60" s="26"/>
      <c r="DN60" s="26"/>
      <c r="DO60" s="26"/>
      <c r="DP60" s="26"/>
      <c r="DQ60" s="26"/>
      <c r="DR60" s="26"/>
      <c r="DS60" s="26"/>
      <c r="DT60" s="26"/>
      <c r="DU60" s="26"/>
      <c r="DV60" s="26"/>
      <c r="DW60" s="26"/>
      <c r="DX60" s="26"/>
      <c r="DY60" s="26"/>
      <c r="DZ60" s="26"/>
      <c r="EA60" s="26"/>
      <c r="EB60" s="26"/>
      <c r="EC60" s="26"/>
      <c r="ED60" s="26"/>
      <c r="EE60" s="26"/>
      <c r="EF60" s="26"/>
    </row>
    <row r="61" spans="2:136" s="9" customFormat="1">
      <c r="B61" s="14" t="s">
        <v>220</v>
      </c>
      <c r="C61" s="183"/>
      <c r="D61" s="184"/>
      <c r="E61" s="30" t="s">
        <v>222</v>
      </c>
      <c r="F61" s="31"/>
      <c r="G61" s="31"/>
      <c r="H61" s="31"/>
      <c r="I61" s="32"/>
      <c r="J61" s="203"/>
      <c r="M61" s="26"/>
      <c r="N61" s="26"/>
      <c r="O61" s="26"/>
      <c r="P61" s="26"/>
      <c r="Q61" s="26"/>
      <c r="R61" s="26"/>
      <c r="S61" s="26"/>
      <c r="T61" s="26"/>
      <c r="U61" s="26"/>
      <c r="V61" s="26"/>
      <c r="W61" s="26"/>
      <c r="X61" s="26"/>
      <c r="Y61" s="26"/>
      <c r="Z61" s="26"/>
      <c r="AA61" s="26"/>
      <c r="AB61" s="26"/>
      <c r="AC61" s="26"/>
      <c r="AD61" s="26"/>
      <c r="AE61" s="26"/>
      <c r="AF61" s="26"/>
      <c r="AG61" s="26"/>
      <c r="AH61" s="26"/>
      <c r="AI61" s="26"/>
      <c r="AJ61" s="26"/>
      <c r="AK61" s="26"/>
      <c r="AL61" s="100"/>
      <c r="AM61" s="100"/>
      <c r="AN61" s="100"/>
      <c r="AO61" s="100"/>
      <c r="AP61" s="100"/>
      <c r="AQ61" s="100"/>
      <c r="AR61" s="100"/>
      <c r="AS61" s="100"/>
      <c r="AT61" s="100"/>
      <c r="AU61" s="100"/>
      <c r="AV61" s="100"/>
      <c r="AW61" s="100"/>
      <c r="AX61" s="100"/>
      <c r="AY61" s="100"/>
      <c r="AZ61" s="100"/>
      <c r="BA61" s="100"/>
      <c r="BB61" s="100"/>
      <c r="BC61" s="100"/>
      <c r="BD61" s="100"/>
      <c r="BE61" s="100"/>
      <c r="BF61" s="100"/>
      <c r="BG61" s="100"/>
      <c r="BH61" s="100"/>
      <c r="BI61" s="100"/>
      <c r="BJ61" s="100"/>
      <c r="BK61" s="100"/>
      <c r="BL61" s="100"/>
      <c r="BM61" s="100"/>
      <c r="BN61" s="100"/>
      <c r="BO61" s="100"/>
      <c r="BP61" s="100"/>
      <c r="BQ61" s="100"/>
      <c r="BR61" s="100"/>
      <c r="BS61" s="100"/>
      <c r="BT61" s="26"/>
      <c r="BU61" s="26"/>
      <c r="BV61" s="26"/>
      <c r="BW61" s="26"/>
      <c r="BX61" s="26"/>
      <c r="BY61" s="26"/>
      <c r="BZ61" s="26"/>
      <c r="CA61" s="26"/>
      <c r="CB61" s="26"/>
      <c r="CC61" s="26"/>
      <c r="CD61" s="26"/>
      <c r="CE61" s="26"/>
      <c r="CF61" s="26"/>
      <c r="CG61" s="26"/>
      <c r="CH61" s="26"/>
      <c r="CI61" s="26"/>
      <c r="CJ61" s="26"/>
      <c r="CK61" s="26"/>
      <c r="CL61" s="26"/>
      <c r="CM61" s="26"/>
      <c r="CN61" s="26"/>
      <c r="CO61" s="26"/>
      <c r="CP61" s="26"/>
      <c r="CQ61" s="26"/>
      <c r="CR61" s="26"/>
      <c r="CS61" s="26"/>
      <c r="CT61" s="26"/>
      <c r="CU61" s="26"/>
      <c r="CV61" s="26"/>
      <c r="CW61" s="26"/>
      <c r="CX61" s="26"/>
      <c r="CY61" s="26"/>
      <c r="CZ61" s="26"/>
      <c r="DA61" s="26"/>
      <c r="DB61" s="26"/>
      <c r="DC61" s="26"/>
      <c r="DD61" s="26"/>
      <c r="DE61" s="26"/>
      <c r="DF61" s="26"/>
      <c r="DG61" s="26"/>
      <c r="DH61" s="26"/>
      <c r="DI61" s="26"/>
      <c r="DJ61" s="26"/>
      <c r="DK61" s="26"/>
      <c r="DL61" s="26"/>
      <c r="DM61" s="26"/>
      <c r="DN61" s="26"/>
      <c r="DO61" s="26"/>
      <c r="DP61" s="26"/>
      <c r="DQ61" s="26"/>
      <c r="DR61" s="26"/>
      <c r="DS61" s="26"/>
      <c r="DT61" s="26"/>
      <c r="DU61" s="26"/>
      <c r="DV61" s="26"/>
      <c r="DW61" s="26"/>
      <c r="DX61" s="26"/>
      <c r="DY61" s="26"/>
      <c r="DZ61" s="26"/>
      <c r="EA61" s="26"/>
      <c r="EB61" s="26"/>
      <c r="EC61" s="26"/>
      <c r="ED61" s="26"/>
      <c r="EE61" s="26"/>
      <c r="EF61" s="26"/>
    </row>
    <row r="63" spans="2:136" s="9" customFormat="1">
      <c r="B63" s="77"/>
      <c r="C63" s="77"/>
      <c r="D63" s="77"/>
      <c r="E63" s="77"/>
      <c r="F63" s="77"/>
      <c r="G63" s="77"/>
      <c r="M63" s="26"/>
      <c r="N63" s="26"/>
      <c r="O63" s="26"/>
      <c r="P63" s="26"/>
      <c r="Q63" s="26"/>
      <c r="R63" s="26"/>
      <c r="S63" s="26"/>
      <c r="T63" s="26"/>
      <c r="U63" s="26"/>
      <c r="V63" s="26"/>
      <c r="W63" s="26"/>
      <c r="X63" s="26"/>
      <c r="Y63" s="26"/>
      <c r="Z63" s="26"/>
      <c r="AA63" s="26"/>
      <c r="AB63" s="26"/>
      <c r="AC63" s="26"/>
      <c r="AD63" s="26"/>
      <c r="AE63" s="26"/>
      <c r="AF63" s="26"/>
      <c r="AG63" s="26"/>
      <c r="AH63" s="26"/>
      <c r="AI63" s="26"/>
      <c r="AJ63" s="26"/>
      <c r="AK63" s="26"/>
      <c r="AL63" s="100"/>
      <c r="AM63" s="100"/>
      <c r="AN63" s="100"/>
      <c r="AO63" s="100"/>
      <c r="AP63" s="100"/>
      <c r="AQ63" s="100"/>
      <c r="AR63" s="100"/>
      <c r="AS63" s="100"/>
      <c r="AT63" s="100"/>
      <c r="AU63" s="100"/>
      <c r="AV63" s="100"/>
      <c r="AW63" s="100"/>
      <c r="AX63" s="100"/>
      <c r="AY63" s="100"/>
      <c r="AZ63" s="100"/>
      <c r="BA63" s="100"/>
      <c r="BB63" s="100"/>
      <c r="BC63" s="100"/>
      <c r="BD63" s="100"/>
      <c r="BE63" s="100"/>
      <c r="BF63" s="100"/>
      <c r="BG63" s="100"/>
      <c r="BH63" s="100"/>
      <c r="BI63" s="100"/>
      <c r="BJ63" s="100"/>
      <c r="BK63" s="100"/>
      <c r="BL63" s="100"/>
      <c r="BM63" s="100"/>
      <c r="BN63" s="100"/>
      <c r="BO63" s="100"/>
      <c r="BP63" s="100"/>
      <c r="BQ63" s="100"/>
      <c r="BR63" s="100"/>
      <c r="BS63" s="100"/>
      <c r="BT63" s="26"/>
      <c r="BU63" s="26"/>
      <c r="BV63" s="26"/>
      <c r="BW63" s="26"/>
      <c r="BX63" s="26"/>
      <c r="BY63" s="26"/>
      <c r="BZ63" s="26"/>
      <c r="CA63" s="26"/>
      <c r="CB63" s="26"/>
      <c r="CC63" s="26"/>
      <c r="CD63" s="26"/>
      <c r="CE63" s="26"/>
      <c r="CF63" s="26"/>
      <c r="CG63" s="26"/>
      <c r="CH63" s="26"/>
      <c r="CI63" s="26"/>
      <c r="CJ63" s="26"/>
      <c r="CK63" s="26"/>
      <c r="CL63" s="26"/>
      <c r="CM63" s="26"/>
      <c r="CN63" s="26"/>
      <c r="CO63" s="26"/>
      <c r="CP63" s="26"/>
      <c r="CQ63" s="26"/>
      <c r="CR63" s="26"/>
      <c r="CS63" s="26"/>
      <c r="CT63" s="26"/>
      <c r="CU63" s="26"/>
      <c r="CV63" s="26"/>
      <c r="CW63" s="26"/>
      <c r="CX63" s="26"/>
      <c r="CY63" s="26"/>
      <c r="CZ63" s="26"/>
      <c r="DA63" s="26"/>
      <c r="DB63" s="26"/>
      <c r="DC63" s="26"/>
      <c r="DD63" s="26"/>
      <c r="DE63" s="26"/>
      <c r="DF63" s="26"/>
      <c r="DG63" s="26"/>
      <c r="DH63" s="26"/>
      <c r="DI63" s="26"/>
      <c r="DJ63" s="26"/>
      <c r="DK63" s="26"/>
      <c r="DL63" s="26"/>
      <c r="DM63" s="26"/>
      <c r="DN63" s="26"/>
      <c r="DO63" s="26"/>
      <c r="DP63" s="26"/>
      <c r="DQ63" s="26"/>
      <c r="DR63" s="26"/>
      <c r="DS63" s="26"/>
      <c r="DT63" s="26"/>
      <c r="DU63" s="26"/>
      <c r="DV63" s="26"/>
      <c r="DW63" s="26"/>
      <c r="DX63" s="26"/>
      <c r="DY63" s="26"/>
      <c r="DZ63" s="26"/>
      <c r="EA63" s="26"/>
      <c r="EB63" s="26"/>
      <c r="EC63" s="26"/>
      <c r="ED63" s="26"/>
      <c r="EE63" s="26"/>
      <c r="EF63" s="26"/>
    </row>
    <row r="64" spans="2:136">
      <c r="B64" s="10" t="s">
        <v>106</v>
      </c>
    </row>
    <row r="65" spans="2:136" s="9" customFormat="1">
      <c r="B65" s="189" t="str">
        <f>IF(C7="","",C7)</f>
        <v>Onslow Bridge</v>
      </c>
      <c r="C65" s="190"/>
      <c r="D65" s="191"/>
      <c r="E65" s="77"/>
      <c r="F65" s="77"/>
      <c r="G65" s="77"/>
      <c r="M65" s="26"/>
      <c r="N65" s="26"/>
      <c r="O65" s="26"/>
      <c r="P65" s="26"/>
      <c r="Q65" s="26"/>
      <c r="R65" s="26"/>
      <c r="S65" s="26"/>
      <c r="T65" s="26"/>
      <c r="U65" s="26"/>
      <c r="V65" s="26"/>
      <c r="W65" s="26"/>
      <c r="X65" s="26"/>
      <c r="Y65" s="26"/>
      <c r="Z65" s="26"/>
      <c r="AA65" s="26"/>
      <c r="AB65" s="26"/>
      <c r="AC65" s="26"/>
      <c r="AD65" s="26"/>
      <c r="AE65" s="26"/>
      <c r="AF65" s="26"/>
      <c r="AG65" s="26"/>
      <c r="AH65" s="26"/>
      <c r="AI65" s="26"/>
      <c r="AJ65" s="26"/>
      <c r="AK65" s="26"/>
      <c r="AL65" s="100"/>
      <c r="AM65" s="100"/>
      <c r="AN65" s="100"/>
      <c r="AO65" s="100"/>
      <c r="AP65" s="100"/>
      <c r="AQ65" s="100"/>
      <c r="AR65" s="100"/>
      <c r="AS65" s="100"/>
      <c r="AT65" s="100"/>
      <c r="AU65" s="100"/>
      <c r="AV65" s="100"/>
      <c r="AW65" s="100"/>
      <c r="AX65" s="100"/>
      <c r="AY65" s="100"/>
      <c r="AZ65" s="100"/>
      <c r="BA65" s="100"/>
      <c r="BB65" s="100"/>
      <c r="BC65" s="100"/>
      <c r="BD65" s="100"/>
      <c r="BE65" s="100"/>
      <c r="BF65" s="100"/>
      <c r="BG65" s="100"/>
      <c r="BH65" s="100"/>
      <c r="BI65" s="100"/>
      <c r="BJ65" s="100"/>
      <c r="BK65" s="100"/>
      <c r="BL65" s="100"/>
      <c r="BM65" s="100"/>
      <c r="BN65" s="100"/>
      <c r="BO65" s="100"/>
      <c r="BP65" s="100"/>
      <c r="BQ65" s="100"/>
      <c r="BR65" s="100"/>
      <c r="BS65" s="100"/>
      <c r="BT65" s="26"/>
      <c r="BU65" s="26"/>
      <c r="BV65" s="26"/>
      <c r="BW65" s="26"/>
      <c r="BX65" s="26"/>
      <c r="BY65" s="26"/>
      <c r="BZ65" s="26"/>
      <c r="CA65" s="26"/>
      <c r="CB65" s="26"/>
      <c r="CC65" s="26"/>
      <c r="CD65" s="26"/>
      <c r="CE65" s="26"/>
      <c r="CF65" s="26"/>
      <c r="CG65" s="26"/>
      <c r="CH65" s="26"/>
      <c r="CI65" s="26"/>
      <c r="CJ65" s="26"/>
      <c r="CK65" s="26"/>
      <c r="CL65" s="26"/>
      <c r="CM65" s="26"/>
      <c r="CN65" s="26"/>
      <c r="CO65" s="26"/>
      <c r="CP65" s="26"/>
      <c r="CQ65" s="26"/>
      <c r="CR65" s="26"/>
      <c r="CS65" s="26"/>
      <c r="CT65" s="26"/>
      <c r="CU65" s="26"/>
      <c r="CV65" s="26"/>
      <c r="CW65" s="26"/>
      <c r="CX65" s="26"/>
      <c r="CY65" s="26"/>
      <c r="CZ65" s="26"/>
      <c r="DA65" s="26"/>
      <c r="DB65" s="26"/>
      <c r="DC65" s="26"/>
      <c r="DD65" s="26"/>
      <c r="DE65" s="26"/>
      <c r="DF65" s="26"/>
      <c r="DG65" s="26"/>
      <c r="DH65" s="26"/>
      <c r="DI65" s="26"/>
      <c r="DJ65" s="26"/>
      <c r="DK65" s="26"/>
      <c r="DL65" s="26"/>
      <c r="DM65" s="26"/>
      <c r="DN65" s="26"/>
      <c r="DO65" s="26"/>
      <c r="DP65" s="26"/>
      <c r="DQ65" s="26"/>
      <c r="DR65" s="26"/>
      <c r="DS65" s="26"/>
      <c r="DT65" s="26"/>
      <c r="DU65" s="26"/>
      <c r="DV65" s="26"/>
      <c r="DW65" s="26"/>
      <c r="DX65" s="26"/>
      <c r="DY65" s="26"/>
      <c r="DZ65" s="26"/>
      <c r="EA65" s="26"/>
      <c r="EB65" s="26"/>
      <c r="EC65" s="26"/>
      <c r="ED65" s="26"/>
      <c r="EE65" s="26"/>
      <c r="EF65" s="26"/>
    </row>
    <row r="66" spans="2:136" s="9" customFormat="1">
      <c r="B66" s="189" t="str">
        <f>IF(C8="","",C8)</f>
        <v>New Onslow Bridge</v>
      </c>
      <c r="C66" s="190"/>
      <c r="D66" s="191"/>
      <c r="E66" s="77"/>
      <c r="F66" s="77"/>
      <c r="G66" s="77"/>
      <c r="M66" s="26"/>
      <c r="N66" s="26"/>
      <c r="O66" s="26"/>
      <c r="P66" s="26"/>
      <c r="Q66" s="26"/>
      <c r="R66" s="26"/>
      <c r="S66" s="26"/>
      <c r="T66" s="26"/>
      <c r="U66" s="26"/>
      <c r="V66" s="26"/>
      <c r="W66" s="26"/>
      <c r="X66" s="26"/>
      <c r="Y66" s="26"/>
      <c r="Z66" s="26"/>
      <c r="AA66" s="26"/>
      <c r="AB66" s="26"/>
      <c r="AC66" s="26"/>
      <c r="AD66" s="26"/>
      <c r="AE66" s="26"/>
      <c r="AF66" s="26"/>
      <c r="AG66" s="26"/>
      <c r="AH66" s="26"/>
      <c r="AI66" s="26"/>
      <c r="AJ66" s="26"/>
      <c r="AK66" s="26"/>
      <c r="AL66" s="100"/>
      <c r="AM66" s="100"/>
      <c r="AN66" s="100"/>
      <c r="AO66" s="100"/>
      <c r="AP66" s="100"/>
      <c r="AQ66" s="100"/>
      <c r="AR66" s="100"/>
      <c r="AS66" s="100"/>
      <c r="AT66" s="100"/>
      <c r="AU66" s="100"/>
      <c r="AV66" s="100"/>
      <c r="AW66" s="100"/>
      <c r="AX66" s="100"/>
      <c r="AY66" s="100"/>
      <c r="AZ66" s="100"/>
      <c r="BA66" s="100"/>
      <c r="BB66" s="100"/>
      <c r="BC66" s="100"/>
      <c r="BD66" s="100"/>
      <c r="BE66" s="100"/>
      <c r="BF66" s="100"/>
      <c r="BG66" s="100"/>
      <c r="BH66" s="100"/>
      <c r="BI66" s="100"/>
      <c r="BJ66" s="100"/>
      <c r="BK66" s="100"/>
      <c r="BL66" s="100"/>
      <c r="BM66" s="100"/>
      <c r="BN66" s="100"/>
      <c r="BO66" s="100"/>
      <c r="BP66" s="100"/>
      <c r="BQ66" s="100"/>
      <c r="BR66" s="100"/>
      <c r="BS66" s="100"/>
      <c r="BT66" s="26"/>
      <c r="BU66" s="26"/>
      <c r="BV66" s="26"/>
      <c r="BW66" s="26"/>
      <c r="BX66" s="26"/>
      <c r="BY66" s="26"/>
      <c r="BZ66" s="26"/>
      <c r="CA66" s="26"/>
      <c r="CB66" s="26"/>
      <c r="CC66" s="26"/>
      <c r="CD66" s="26"/>
      <c r="CE66" s="26"/>
      <c r="CF66" s="26"/>
      <c r="CG66" s="26"/>
      <c r="CH66" s="26"/>
      <c r="CI66" s="26"/>
      <c r="CJ66" s="26"/>
      <c r="CK66" s="26"/>
      <c r="CL66" s="26"/>
      <c r="CM66" s="26"/>
      <c r="CN66" s="26"/>
      <c r="CO66" s="26"/>
      <c r="CP66" s="26"/>
      <c r="CQ66" s="26"/>
      <c r="CR66" s="26"/>
      <c r="CS66" s="26"/>
      <c r="CT66" s="26"/>
      <c r="CU66" s="26"/>
      <c r="CV66" s="26"/>
      <c r="CW66" s="26"/>
      <c r="CX66" s="26"/>
      <c r="CY66" s="26"/>
      <c r="CZ66" s="26"/>
      <c r="DA66" s="26"/>
      <c r="DB66" s="26"/>
      <c r="DC66" s="26"/>
      <c r="DD66" s="26"/>
      <c r="DE66" s="26"/>
      <c r="DF66" s="26"/>
      <c r="DG66" s="26"/>
      <c r="DH66" s="26"/>
      <c r="DI66" s="26"/>
      <c r="DJ66" s="26"/>
      <c r="DK66" s="26"/>
      <c r="DL66" s="26"/>
      <c r="DM66" s="26"/>
      <c r="DN66" s="26"/>
      <c r="DO66" s="26"/>
      <c r="DP66" s="26"/>
      <c r="DQ66" s="26"/>
      <c r="DR66" s="26"/>
      <c r="DS66" s="26"/>
      <c r="DT66" s="26"/>
      <c r="DU66" s="26"/>
      <c r="DV66" s="26"/>
      <c r="DW66" s="26"/>
      <c r="DX66" s="26"/>
      <c r="DY66" s="26"/>
      <c r="DZ66" s="26"/>
      <c r="EA66" s="26"/>
      <c r="EB66" s="26"/>
      <c r="EC66" s="26"/>
      <c r="ED66" s="26"/>
      <c r="EE66" s="26"/>
      <c r="EF66" s="26"/>
    </row>
    <row r="67" spans="2:136">
      <c r="B67" s="169" t="s">
        <v>252</v>
      </c>
      <c r="C67" s="169"/>
      <c r="D67" s="169"/>
    </row>
    <row r="68" spans="2:136">
      <c r="B68" s="68" t="s">
        <v>253</v>
      </c>
      <c r="C68" s="78" t="str">
        <f>Contraction!C93</f>
        <v>Live-Bed</v>
      </c>
      <c r="D68" s="69"/>
    </row>
    <row r="69" spans="2:136">
      <c r="B69" s="68" t="s">
        <v>257</v>
      </c>
      <c r="C69" s="79">
        <f>IF(ISERROR(Contraction!C95),"",Contraction!C95)</f>
        <v>4.4597186019799295</v>
      </c>
      <c r="D69" s="70" t="s">
        <v>10</v>
      </c>
    </row>
    <row r="70" spans="2:136">
      <c r="B70" s="68" t="s">
        <v>258</v>
      </c>
      <c r="C70" s="79">
        <f>Contraction!C96</f>
        <v>0</v>
      </c>
      <c r="D70" s="70" t="s">
        <v>10</v>
      </c>
    </row>
    <row r="71" spans="2:136">
      <c r="B71" s="68" t="s">
        <v>259</v>
      </c>
      <c r="C71" s="79">
        <f>Contraction!C97</f>
        <v>0</v>
      </c>
      <c r="D71" s="70" t="s">
        <v>10</v>
      </c>
    </row>
    <row r="72" spans="2:136">
      <c r="B72" s="169" t="s">
        <v>254</v>
      </c>
      <c r="C72" s="169"/>
      <c r="D72" s="169"/>
    </row>
    <row r="73" spans="2:136">
      <c r="B73" s="68" t="s">
        <v>255</v>
      </c>
      <c r="C73" s="78" t="str">
        <f>IF(ISERROR(Abutment!C121),"",Abutment!C121)</f>
        <v>HIRE</v>
      </c>
      <c r="D73" s="69"/>
    </row>
    <row r="74" spans="2:136">
      <c r="B74" s="68" t="s">
        <v>256</v>
      </c>
      <c r="C74" s="79">
        <f>IF(ISERROR(Abutment!C123),"",Abutment!C123)</f>
        <v>4.4626219657718158</v>
      </c>
      <c r="D74" s="70" t="s">
        <v>10</v>
      </c>
    </row>
    <row r="75" spans="2:136">
      <c r="B75" s="169" t="s">
        <v>260</v>
      </c>
      <c r="C75" s="169"/>
      <c r="D75" s="169"/>
    </row>
    <row r="76" spans="2:136">
      <c r="B76" s="68" t="s">
        <v>255</v>
      </c>
      <c r="C76" s="79" t="str">
        <f>IF(ISERROR(Abutment!C128),"",Abutment!C128)</f>
        <v>HIRE</v>
      </c>
      <c r="D76" s="70"/>
    </row>
    <row r="77" spans="2:136">
      <c r="B77" s="68" t="s">
        <v>256</v>
      </c>
      <c r="C77" s="79">
        <f>IF(ISERROR(Abutment!C130),"",Abutment!C130)</f>
        <v>3.2453627924666417</v>
      </c>
      <c r="D77" s="70" t="s">
        <v>10</v>
      </c>
    </row>
    <row r="78" spans="2:136">
      <c r="B78" s="169" t="s">
        <v>261</v>
      </c>
      <c r="C78" s="169"/>
      <c r="D78" s="169"/>
    </row>
    <row r="79" spans="2:136">
      <c r="B79" s="68" t="s">
        <v>263</v>
      </c>
      <c r="C79" s="79">
        <f>IF(ISERROR(Pier!C116),"",Pier!C116)</f>
        <v>9.4003552967187805</v>
      </c>
      <c r="D79" s="70" t="s">
        <v>10</v>
      </c>
    </row>
    <row r="80" spans="2:136">
      <c r="B80" s="68" t="s">
        <v>262</v>
      </c>
      <c r="C80" s="79">
        <f>IF(ISERROR(Pier!C117),"",Pier!C117)</f>
        <v>9.4003552967187805</v>
      </c>
      <c r="D80" s="70" t="s">
        <v>10</v>
      </c>
    </row>
    <row r="81" spans="2:136">
      <c r="B81" s="169" t="s">
        <v>264</v>
      </c>
      <c r="C81" s="169"/>
      <c r="D81" s="169"/>
    </row>
    <row r="82" spans="2:136">
      <c r="B82" s="68" t="s">
        <v>263</v>
      </c>
      <c r="C82" s="79">
        <f>IF(ISERROR(Pier!C119),"",Pier!C119)</f>
        <v>9.4003552967187805</v>
      </c>
      <c r="D82" s="70" t="s">
        <v>10</v>
      </c>
    </row>
    <row r="83" spans="2:136">
      <c r="B83" s="68" t="s">
        <v>262</v>
      </c>
      <c r="C83" s="79">
        <f>IF(ISERROR(Pier!C120),"",Pier!C120)</f>
        <v>9.4003552967187805</v>
      </c>
      <c r="D83" s="70" t="s">
        <v>10</v>
      </c>
    </row>
    <row r="85" spans="2:136">
      <c r="B85" s="67" t="s">
        <v>348</v>
      </c>
    </row>
    <row r="86" spans="2:136">
      <c r="B86" s="185" t="str">
        <f>IF(C7="","",C7)</f>
        <v>Onslow Bridge</v>
      </c>
      <c r="C86" s="186"/>
      <c r="D86" s="187"/>
    </row>
    <row r="87" spans="2:136" s="9" customFormat="1">
      <c r="B87" s="185" t="str">
        <f>IF(C8="","",C8)</f>
        <v>New Onslow Bridge</v>
      </c>
      <c r="C87" s="186"/>
      <c r="D87" s="187"/>
      <c r="E87" s="77"/>
      <c r="F87" s="77"/>
      <c r="G87" s="77"/>
      <c r="M87" s="26"/>
      <c r="N87" s="26"/>
      <c r="O87" s="26"/>
      <c r="P87" s="26"/>
      <c r="Q87" s="26"/>
      <c r="R87" s="26"/>
      <c r="S87" s="26"/>
      <c r="T87" s="26"/>
      <c r="U87" s="26"/>
      <c r="V87" s="26"/>
      <c r="W87" s="26"/>
      <c r="X87" s="26"/>
      <c r="Y87" s="26"/>
      <c r="Z87" s="26"/>
      <c r="AA87" s="26"/>
      <c r="AB87" s="26"/>
      <c r="AC87" s="26"/>
      <c r="AD87" s="26"/>
      <c r="AE87" s="26"/>
      <c r="AF87" s="26"/>
      <c r="AG87" s="26"/>
      <c r="AH87" s="26"/>
      <c r="AI87" s="26"/>
      <c r="AJ87" s="26"/>
      <c r="AK87" s="26"/>
      <c r="AL87" s="100"/>
      <c r="AM87" s="100"/>
      <c r="AN87" s="100"/>
      <c r="AO87" s="100"/>
      <c r="AP87" s="100"/>
      <c r="AQ87" s="100"/>
      <c r="AR87" s="100"/>
      <c r="AS87" s="100"/>
      <c r="AT87" s="100"/>
      <c r="AU87" s="100"/>
      <c r="AV87" s="100"/>
      <c r="AW87" s="100"/>
      <c r="AX87" s="100"/>
      <c r="AY87" s="100"/>
      <c r="AZ87" s="100"/>
      <c r="BA87" s="100"/>
      <c r="BB87" s="100"/>
      <c r="BC87" s="100"/>
      <c r="BD87" s="100"/>
      <c r="BE87" s="100"/>
      <c r="BF87" s="100"/>
      <c r="BG87" s="100"/>
      <c r="BH87" s="100"/>
      <c r="BI87" s="100"/>
      <c r="BJ87" s="100"/>
      <c r="BK87" s="100"/>
      <c r="BL87" s="100"/>
      <c r="BM87" s="100"/>
      <c r="BN87" s="100"/>
      <c r="BO87" s="100"/>
      <c r="BP87" s="100"/>
      <c r="BQ87" s="100"/>
      <c r="BR87" s="100"/>
      <c r="BS87" s="100"/>
      <c r="BT87" s="26"/>
      <c r="BU87" s="26"/>
      <c r="BV87" s="26"/>
      <c r="BW87" s="26"/>
      <c r="BX87" s="26"/>
      <c r="BY87" s="26"/>
      <c r="BZ87" s="26"/>
      <c r="CA87" s="26"/>
      <c r="CB87" s="26"/>
      <c r="CC87" s="26"/>
      <c r="CD87" s="26"/>
      <c r="CE87" s="26"/>
      <c r="CF87" s="26"/>
      <c r="CG87" s="26"/>
      <c r="CH87" s="26"/>
      <c r="CI87" s="26"/>
      <c r="CJ87" s="26"/>
      <c r="CK87" s="26"/>
      <c r="CL87" s="26"/>
      <c r="CM87" s="26"/>
      <c r="CN87" s="26"/>
      <c r="CO87" s="26"/>
      <c r="CP87" s="26"/>
      <c r="CQ87" s="26"/>
      <c r="CR87" s="26"/>
      <c r="CS87" s="26"/>
      <c r="CT87" s="26"/>
      <c r="CU87" s="26"/>
      <c r="CV87" s="26"/>
      <c r="CW87" s="26"/>
      <c r="CX87" s="26"/>
      <c r="CY87" s="26"/>
      <c r="CZ87" s="26"/>
      <c r="DA87" s="26"/>
      <c r="DB87" s="26"/>
      <c r="DC87" s="26"/>
      <c r="DD87" s="26"/>
      <c r="DE87" s="26"/>
      <c r="DF87" s="26"/>
      <c r="DG87" s="26"/>
      <c r="DH87" s="26"/>
      <c r="DI87" s="26"/>
      <c r="DJ87" s="26"/>
      <c r="DK87" s="26"/>
      <c r="DL87" s="26"/>
      <c r="DM87" s="26"/>
      <c r="DN87" s="26"/>
      <c r="DO87" s="26"/>
      <c r="DP87" s="26"/>
      <c r="DQ87" s="26"/>
      <c r="DR87" s="26"/>
      <c r="DS87" s="26"/>
      <c r="DT87" s="26"/>
      <c r="DU87" s="26"/>
      <c r="DV87" s="26"/>
      <c r="DW87" s="26"/>
      <c r="DX87" s="26"/>
      <c r="DY87" s="26"/>
      <c r="DZ87" s="26"/>
      <c r="EA87" s="26"/>
      <c r="EB87" s="26"/>
      <c r="EC87" s="26"/>
      <c r="ED87" s="26"/>
      <c r="EE87" s="26"/>
      <c r="EF87" s="26"/>
    </row>
    <row r="88" spans="2:136" s="9" customFormat="1">
      <c r="B88" s="188" t="s">
        <v>267</v>
      </c>
      <c r="C88" s="188"/>
      <c r="D88" s="188"/>
      <c r="E88" s="77"/>
      <c r="F88" s="77"/>
      <c r="G88" s="77"/>
      <c r="M88" s="26"/>
      <c r="N88" s="26"/>
      <c r="O88" s="26"/>
      <c r="P88" s="26"/>
      <c r="Q88" s="26"/>
      <c r="R88" s="26"/>
      <c r="S88" s="26"/>
      <c r="T88" s="26"/>
      <c r="U88" s="26"/>
      <c r="V88" s="26"/>
      <c r="W88" s="26"/>
      <c r="X88" s="26"/>
      <c r="Y88" s="26"/>
      <c r="Z88" s="26"/>
      <c r="AA88" s="26"/>
      <c r="AB88" s="26"/>
      <c r="AC88" s="26"/>
      <c r="AD88" s="26"/>
      <c r="AE88" s="26"/>
      <c r="AF88" s="26"/>
      <c r="AG88" s="26"/>
      <c r="AH88" s="26"/>
      <c r="AI88" s="26"/>
      <c r="AJ88" s="26"/>
      <c r="AK88" s="26"/>
      <c r="AL88" s="100"/>
      <c r="AM88" s="100"/>
      <c r="AN88" s="100"/>
      <c r="AO88" s="100"/>
      <c r="AP88" s="100"/>
      <c r="AQ88" s="100"/>
      <c r="AR88" s="100"/>
      <c r="AS88" s="100"/>
      <c r="AT88" s="100"/>
      <c r="AU88" s="100"/>
      <c r="AV88" s="100"/>
      <c r="AW88" s="100"/>
      <c r="AX88" s="100"/>
      <c r="AY88" s="100"/>
      <c r="AZ88" s="100"/>
      <c r="BA88" s="100"/>
      <c r="BB88" s="100"/>
      <c r="BC88" s="100"/>
      <c r="BD88" s="100"/>
      <c r="BE88" s="100"/>
      <c r="BF88" s="100"/>
      <c r="BG88" s="100"/>
      <c r="BH88" s="100"/>
      <c r="BI88" s="100"/>
      <c r="BJ88" s="100"/>
      <c r="BK88" s="100"/>
      <c r="BL88" s="100"/>
      <c r="BM88" s="100"/>
      <c r="BN88" s="100"/>
      <c r="BO88" s="100"/>
      <c r="BP88" s="100"/>
      <c r="BQ88" s="100"/>
      <c r="BR88" s="100"/>
      <c r="BS88" s="100"/>
      <c r="BT88" s="26"/>
      <c r="BU88" s="26"/>
      <c r="BV88" s="26"/>
      <c r="BW88" s="26"/>
      <c r="BX88" s="26"/>
      <c r="BY88" s="26"/>
      <c r="BZ88" s="26"/>
      <c r="CA88" s="26"/>
      <c r="CB88" s="26"/>
      <c r="CC88" s="26"/>
      <c r="CD88" s="26"/>
      <c r="CE88" s="26"/>
      <c r="CF88" s="26"/>
      <c r="CG88" s="26"/>
      <c r="CH88" s="26"/>
      <c r="CI88" s="26"/>
      <c r="CJ88" s="26"/>
      <c r="CK88" s="26"/>
      <c r="CL88" s="26"/>
      <c r="CM88" s="26"/>
      <c r="CN88" s="26"/>
      <c r="CO88" s="26"/>
      <c r="CP88" s="26"/>
      <c r="CQ88" s="26"/>
      <c r="CR88" s="26"/>
      <c r="CS88" s="26"/>
      <c r="CT88" s="26"/>
      <c r="CU88" s="26"/>
      <c r="CV88" s="26"/>
      <c r="CW88" s="26"/>
      <c r="CX88" s="26"/>
      <c r="CY88" s="26"/>
      <c r="CZ88" s="26"/>
      <c r="DA88" s="26"/>
      <c r="DB88" s="26"/>
      <c r="DC88" s="26"/>
      <c r="DD88" s="26"/>
      <c r="DE88" s="26"/>
      <c r="DF88" s="26"/>
      <c r="DG88" s="26"/>
      <c r="DH88" s="26"/>
      <c r="DI88" s="26"/>
      <c r="DJ88" s="26"/>
      <c r="DK88" s="26"/>
      <c r="DL88" s="26"/>
      <c r="DM88" s="26"/>
      <c r="DN88" s="26"/>
      <c r="DO88" s="26"/>
      <c r="DP88" s="26"/>
      <c r="DQ88" s="26"/>
      <c r="DR88" s="26"/>
      <c r="DS88" s="26"/>
      <c r="DT88" s="26"/>
      <c r="DU88" s="26"/>
      <c r="DV88" s="26"/>
      <c r="DW88" s="26"/>
      <c r="DX88" s="26"/>
      <c r="DY88" s="26"/>
      <c r="DZ88" s="26"/>
      <c r="EA88" s="26"/>
      <c r="EB88" s="26"/>
      <c r="EC88" s="26"/>
      <c r="ED88" s="26"/>
      <c r="EE88" s="26"/>
      <c r="EF88" s="26"/>
    </row>
    <row r="89" spans="2:136">
      <c r="B89" s="13" t="s">
        <v>33</v>
      </c>
      <c r="C89" s="111"/>
      <c r="D89" s="66" t="s">
        <v>10</v>
      </c>
    </row>
    <row r="90" spans="2:136" s="9" customFormat="1">
      <c r="B90" s="13" t="s">
        <v>122</v>
      </c>
      <c r="C90" s="111"/>
      <c r="D90" s="66" t="s">
        <v>10</v>
      </c>
      <c r="E90" s="62"/>
      <c r="F90" s="62"/>
      <c r="G90" s="62"/>
      <c r="M90" s="26"/>
      <c r="N90" s="26"/>
      <c r="O90" s="26"/>
      <c r="P90" s="26"/>
      <c r="Q90" s="26"/>
      <c r="R90" s="26"/>
      <c r="S90" s="26"/>
      <c r="T90" s="26"/>
      <c r="U90" s="26"/>
      <c r="V90" s="26"/>
      <c r="W90" s="26"/>
      <c r="X90" s="26"/>
      <c r="Y90" s="26"/>
      <c r="Z90" s="26"/>
      <c r="AA90" s="26"/>
      <c r="AB90" s="26"/>
      <c r="AC90" s="26"/>
      <c r="AD90" s="26"/>
      <c r="AE90" s="26"/>
      <c r="AF90" s="26"/>
      <c r="AG90" s="26"/>
      <c r="AH90" s="26"/>
      <c r="AI90" s="26"/>
      <c r="AJ90" s="26"/>
      <c r="AK90" s="26"/>
      <c r="AL90" s="100"/>
      <c r="AM90" s="100"/>
      <c r="AN90" s="100"/>
      <c r="AO90" s="100"/>
      <c r="AP90" s="100"/>
      <c r="AQ90" s="100"/>
      <c r="AR90" s="100"/>
      <c r="AS90" s="100"/>
      <c r="AT90" s="100"/>
      <c r="AU90" s="100"/>
      <c r="AV90" s="100"/>
      <c r="AW90" s="100"/>
      <c r="AX90" s="100"/>
      <c r="AY90" s="100"/>
      <c r="AZ90" s="100"/>
      <c r="BA90" s="100"/>
      <c r="BB90" s="100"/>
      <c r="BC90" s="100"/>
      <c r="BD90" s="100"/>
      <c r="BE90" s="100"/>
      <c r="BF90" s="100"/>
      <c r="BG90" s="100"/>
      <c r="BH90" s="100"/>
      <c r="BI90" s="100"/>
      <c r="BJ90" s="100"/>
      <c r="BK90" s="100"/>
      <c r="BL90" s="100"/>
      <c r="BM90" s="100"/>
      <c r="BN90" s="100"/>
      <c r="BO90" s="100"/>
      <c r="BP90" s="100"/>
      <c r="BQ90" s="100"/>
      <c r="BR90" s="100"/>
      <c r="BS90" s="100"/>
      <c r="BT90" s="26"/>
      <c r="BU90" s="26"/>
      <c r="BV90" s="26"/>
      <c r="BW90" s="26"/>
      <c r="BX90" s="26"/>
      <c r="BY90" s="26"/>
      <c r="BZ90" s="26"/>
      <c r="CA90" s="26"/>
      <c r="CB90" s="26"/>
      <c r="CC90" s="26"/>
      <c r="CD90" s="26"/>
      <c r="CE90" s="26"/>
      <c r="CF90" s="26"/>
      <c r="CG90" s="26"/>
      <c r="CH90" s="26"/>
      <c r="CI90" s="26"/>
      <c r="CJ90" s="26"/>
      <c r="CK90" s="26"/>
      <c r="CL90" s="26"/>
      <c r="CM90" s="26"/>
      <c r="CN90" s="26"/>
      <c r="CO90" s="26"/>
      <c r="CP90" s="26"/>
      <c r="CQ90" s="26"/>
      <c r="CR90" s="26"/>
      <c r="CS90" s="26"/>
      <c r="CT90" s="26"/>
      <c r="CU90" s="26"/>
      <c r="CV90" s="26"/>
      <c r="CW90" s="26"/>
      <c r="CX90" s="26"/>
      <c r="CY90" s="26"/>
      <c r="CZ90" s="26"/>
      <c r="DA90" s="26"/>
      <c r="DB90" s="26"/>
      <c r="DC90" s="26"/>
      <c r="DD90" s="26"/>
      <c r="DE90" s="26"/>
      <c r="DF90" s="26"/>
      <c r="DG90" s="26"/>
      <c r="DH90" s="26"/>
      <c r="DI90" s="26"/>
      <c r="DJ90" s="26"/>
      <c r="DK90" s="26"/>
      <c r="DL90" s="26"/>
      <c r="DM90" s="26"/>
      <c r="DN90" s="26"/>
      <c r="DO90" s="26"/>
      <c r="DP90" s="26"/>
      <c r="DQ90" s="26"/>
      <c r="DR90" s="26"/>
      <c r="DS90" s="26"/>
      <c r="DT90" s="26"/>
      <c r="DU90" s="26"/>
      <c r="DV90" s="26"/>
      <c r="DW90" s="26"/>
      <c r="DX90" s="26"/>
      <c r="DY90" s="26"/>
      <c r="DZ90" s="26"/>
      <c r="EA90" s="26"/>
      <c r="EB90" s="26"/>
      <c r="EC90" s="26"/>
      <c r="ED90" s="26"/>
      <c r="EE90" s="26"/>
      <c r="EF90" s="26"/>
    </row>
    <row r="91" spans="2:136">
      <c r="B91" s="13" t="s">
        <v>151</v>
      </c>
      <c r="C91" s="111"/>
      <c r="D91" s="66" t="s">
        <v>10</v>
      </c>
    </row>
    <row r="92" spans="2:136">
      <c r="B92" s="179"/>
      <c r="C92" s="179"/>
      <c r="D92" s="179"/>
      <c r="E92"/>
      <c r="F92"/>
      <c r="G92"/>
      <c r="I92" s="26"/>
      <c r="J92" s="26"/>
    </row>
    <row r="93" spans="2:136">
      <c r="B93" s="179"/>
      <c r="C93" s="179"/>
      <c r="D93" s="179"/>
      <c r="E93"/>
      <c r="F93"/>
      <c r="G93"/>
      <c r="I93" s="26"/>
      <c r="J93" s="26"/>
    </row>
  </sheetData>
  <sheetProtection algorithmName="SHA-512" hashValue="dwYIy7BdZ/aMsK7BS/xfo2CytzletxUalsvcbLXw/zzUdl0lS1YPxkXSW7jM3qL43c1xvoK9ivR/1yzSjJ1PNg==" saltValue="znid7SGgS0tjoEBf8rIN+g==" spinCount="100000" sheet="1" objects="1" scenarios="1" formatCells="0" selectLockedCells="1"/>
  <mergeCells count="39">
    <mergeCell ref="B88:D88"/>
    <mergeCell ref="B92:D93"/>
    <mergeCell ref="B67:D67"/>
    <mergeCell ref="B72:D72"/>
    <mergeCell ref="B75:D75"/>
    <mergeCell ref="B78:D78"/>
    <mergeCell ref="B81:D81"/>
    <mergeCell ref="B87:D87"/>
    <mergeCell ref="C61:D61"/>
    <mergeCell ref="E48:I48"/>
    <mergeCell ref="J9:J24"/>
    <mergeCell ref="J25:J42"/>
    <mergeCell ref="J43:J61"/>
    <mergeCell ref="C55:D55"/>
    <mergeCell ref="E55:I55"/>
    <mergeCell ref="E56:I56"/>
    <mergeCell ref="E53:I53"/>
    <mergeCell ref="C47:D47"/>
    <mergeCell ref="E47:I47"/>
    <mergeCell ref="E52:I52"/>
    <mergeCell ref="C29:D29"/>
    <mergeCell ref="C38:D38"/>
    <mergeCell ref="C60:D60"/>
    <mergeCell ref="B66:D66"/>
    <mergeCell ref="B65:D65"/>
    <mergeCell ref="B86:D86"/>
    <mergeCell ref="J7:J8"/>
    <mergeCell ref="E20:I20"/>
    <mergeCell ref="E19:I19"/>
    <mergeCell ref="E49:I49"/>
    <mergeCell ref="E50:I50"/>
    <mergeCell ref="E9:I9"/>
    <mergeCell ref="E14:I14"/>
    <mergeCell ref="E23:I23"/>
    <mergeCell ref="E21:I21"/>
    <mergeCell ref="E18:I18"/>
    <mergeCell ref="C7:I7"/>
    <mergeCell ref="C8:I8"/>
    <mergeCell ref="C57:D57"/>
  </mergeCells>
  <phoneticPr fontId="7" type="noConversion"/>
  <dataValidations count="6">
    <dataValidation type="list" allowBlank="1" showInputMessage="1" showErrorMessage="1" sqref="C24" xr:uid="{5917520E-8CCC-4351-AA19-EE5172898A01}">
      <formula1>$AR$22:$AR$24</formula1>
    </dataValidation>
    <dataValidation type="list" allowBlank="1" showInputMessage="1" showErrorMessage="1" sqref="C47:D47" xr:uid="{DCA4B781-F9A0-41D0-8946-0B81109B8A38}">
      <formula1>$AR$42:$AR$47</formula1>
    </dataValidation>
    <dataValidation type="list" allowBlank="1" showInputMessage="1" showErrorMessage="1" sqref="C55:D55" xr:uid="{1EE28A98-80A8-4FE9-BEF7-FFA7FC4233CB}">
      <formula1>$AR$48:$AR$52</formula1>
    </dataValidation>
    <dataValidation type="list" allowBlank="1" showInputMessage="1" showErrorMessage="1" sqref="C57:D57 C61:D61" xr:uid="{4236350B-26FC-429C-99B1-0237DEACFA9B}">
      <formula1>$AR$53:$AR$55</formula1>
    </dataValidation>
    <dataValidation type="list" allowBlank="1" showInputMessage="1" showErrorMessage="1" sqref="C38:D38 C29:D29" xr:uid="{57F6766D-8769-4E7C-9555-82D4EB0E0BAF}">
      <formula1>$AR$35:$AR$38</formula1>
    </dataValidation>
    <dataValidation type="list" allowBlank="1" showInputMessage="1" showErrorMessage="1" sqref="C60:D60" xr:uid="{A6D43498-3587-47F5-A0B7-782FC6837471}">
      <formula1>$AR$56:$AR$58</formula1>
    </dataValidation>
  </dataValidations>
  <pageMargins left="0.7" right="0.7" top="0.75" bottom="0.75" header="0.3" footer="0.3"/>
  <pageSetup scale="62" orientation="portrait" horizontalDpi="4294967293" verticalDpi="0" r:id="rId1"/>
  <headerFooter>
    <oddFooter>&amp;LRef: HEC-18, FHWA-HIF-12-003&amp;CHEC-18 Bridge Scour Calculations&amp;RPage &amp;P</oddFooter>
  </headerFooter>
  <rowBreaks count="1" manualBreakCount="1">
    <brk id="62" max="10" man="1"/>
  </rowBreaks>
  <drawing r:id="rId2"/>
  <legacyDrawing r:id="rId3"/>
  <oleObjects>
    <mc:AlternateContent xmlns:mc="http://schemas.openxmlformats.org/markup-compatibility/2006">
      <mc:Choice Requires="x14">
        <oleObject progId="Wordpad.Document.1" shapeId="2049" r:id="rId4">
          <objectPr defaultSize="0" r:id="rId5">
            <anchor moveWithCells="1">
              <from>
                <xdr:col>0</xdr:col>
                <xdr:colOff>0</xdr:colOff>
                <xdr:row>0</xdr:row>
                <xdr:rowOff>0</xdr:rowOff>
              </from>
              <to>
                <xdr:col>0</xdr:col>
                <xdr:colOff>9525</xdr:colOff>
                <xdr:row>0</xdr:row>
                <xdr:rowOff>9525</xdr:rowOff>
              </to>
            </anchor>
          </objectPr>
        </oleObject>
      </mc:Choice>
      <mc:Fallback>
        <oleObject progId="Wordpad.Document.1" shapeId="2049" r:id="rId4"/>
      </mc:Fallback>
    </mc:AlternateContent>
  </oleObjec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6A5AD3C-BFB9-478F-869D-A8FA378AB22E}">
  <sheetPr>
    <tabColor theme="5" tint="0.39997558519241921"/>
  </sheetPr>
  <dimension ref="A1:AL100"/>
  <sheetViews>
    <sheetView topLeftCell="A55" zoomScale="85" zoomScaleNormal="85" workbookViewId="0">
      <selection activeCell="AB48" sqref="AB48"/>
    </sheetView>
  </sheetViews>
  <sheetFormatPr defaultRowHeight="15"/>
  <cols>
    <col min="2" max="2" width="10.140625" customWidth="1"/>
    <col min="3" max="3" width="11.42578125" customWidth="1"/>
    <col min="4" max="4" width="13.28515625" customWidth="1"/>
  </cols>
  <sheetData>
    <row r="1" spans="1:26">
      <c r="A1" s="10" t="s">
        <v>107</v>
      </c>
    </row>
    <row r="2" spans="1:26">
      <c r="A2" t="s">
        <v>36</v>
      </c>
    </row>
    <row r="3" spans="1:26" s="9" customFormat="1">
      <c r="A3" s="9" t="s">
        <v>452</v>
      </c>
    </row>
    <row r="4" spans="1:26" s="9" customFormat="1">
      <c r="A4" s="27"/>
      <c r="B4" s="27"/>
      <c r="C4" s="27"/>
      <c r="D4" s="27"/>
      <c r="E4" s="27"/>
      <c r="F4" s="27"/>
      <c r="G4" s="27"/>
      <c r="H4" s="27"/>
      <c r="I4" s="27"/>
      <c r="J4" s="27"/>
      <c r="K4" s="27"/>
      <c r="L4" s="27"/>
      <c r="M4" s="27"/>
      <c r="N4" s="27"/>
      <c r="O4" s="27"/>
      <c r="P4" s="27"/>
      <c r="Q4" s="27"/>
      <c r="R4" s="27"/>
      <c r="S4" s="27"/>
      <c r="T4" s="27"/>
      <c r="U4" s="27"/>
      <c r="V4" s="27"/>
      <c r="W4" s="27"/>
      <c r="X4" s="27"/>
      <c r="Y4" s="27"/>
      <c r="Z4" s="27"/>
    </row>
    <row r="5" spans="1:26">
      <c r="A5" s="192" t="s">
        <v>34</v>
      </c>
      <c r="B5" s="193"/>
      <c r="C5" s="193"/>
      <c r="D5" s="193"/>
      <c r="E5" s="193"/>
      <c r="F5" s="193"/>
      <c r="G5" s="193"/>
      <c r="H5" s="193"/>
      <c r="I5" s="193"/>
      <c r="J5" s="193"/>
      <c r="K5" s="193"/>
      <c r="L5" s="193"/>
      <c r="M5" s="193"/>
      <c r="N5" s="193"/>
      <c r="O5" s="193"/>
      <c r="P5" s="193"/>
      <c r="Q5" s="193"/>
      <c r="R5" s="193"/>
      <c r="S5" s="193"/>
      <c r="T5" s="193"/>
      <c r="U5" s="193"/>
      <c r="V5" s="193"/>
      <c r="W5" s="193"/>
      <c r="X5" s="193"/>
      <c r="Y5" s="193"/>
      <c r="Z5" s="194"/>
    </row>
    <row r="7" spans="1:26">
      <c r="A7" s="10" t="s">
        <v>40</v>
      </c>
    </row>
    <row r="9" spans="1:26">
      <c r="B9" s="11" t="s">
        <v>44</v>
      </c>
      <c r="C9" s="12">
        <v>11.17</v>
      </c>
      <c r="D9" t="s">
        <v>42</v>
      </c>
    </row>
    <row r="10" spans="1:26">
      <c r="B10" s="11" t="s">
        <v>45</v>
      </c>
      <c r="C10" s="12">
        <f>'HEC-18 Bridge Scour'!C21</f>
        <v>15</v>
      </c>
      <c r="D10" t="s">
        <v>10</v>
      </c>
    </row>
    <row r="11" spans="1:26">
      <c r="B11" s="11" t="s">
        <v>46</v>
      </c>
      <c r="C11" s="12">
        <f>'HEC-18 Bridge Scour'!C23</f>
        <v>1.5</v>
      </c>
      <c r="D11" t="s">
        <v>12</v>
      </c>
    </row>
    <row r="12" spans="1:26">
      <c r="B12" s="11" t="s">
        <v>47</v>
      </c>
      <c r="C12" s="12">
        <f>C11*0.00328084</f>
        <v>4.9212600000000002E-3</v>
      </c>
      <c r="D12" t="s">
        <v>10</v>
      </c>
    </row>
    <row r="13" spans="1:26">
      <c r="C13" s="12"/>
    </row>
    <row r="14" spans="1:26">
      <c r="B14" s="11" t="s">
        <v>48</v>
      </c>
      <c r="C14" s="12">
        <f>C9*C10^(1/6)*C12^(1/3)</f>
        <v>2.983736632906921</v>
      </c>
      <c r="D14" t="s">
        <v>43</v>
      </c>
    </row>
    <row r="15" spans="1:26">
      <c r="C15" s="12"/>
    </row>
    <row r="16" spans="1:26">
      <c r="B16" s="11" t="s">
        <v>66</v>
      </c>
      <c r="C16" s="12">
        <f>'HEC-18 Bridge Scour'!C22</f>
        <v>4.5</v>
      </c>
      <c r="D16" t="s">
        <v>43</v>
      </c>
    </row>
    <row r="17" spans="1:26">
      <c r="C17" s="12"/>
    </row>
    <row r="18" spans="1:26">
      <c r="C18" s="12" t="str">
        <f>IF(C14&gt;C16,"V1  &lt; Vc","V1 &gt; Vc")</f>
        <v>V1 &gt; Vc</v>
      </c>
    </row>
    <row r="20" spans="1:26">
      <c r="B20" s="11" t="s">
        <v>49</v>
      </c>
      <c r="C20" s="11" t="s">
        <v>113</v>
      </c>
      <c r="D20" s="9" t="str">
        <f>IF(AND(C14=0, C16=0),"",IF(C16&gt;C14,"Live-Bed","Clear Water"))</f>
        <v>Live-Bed</v>
      </c>
    </row>
    <row r="21" spans="1:26" s="9" customFormat="1">
      <c r="B21" s="11"/>
      <c r="C21" s="11" t="s">
        <v>453</v>
      </c>
      <c r="D21" s="2" t="str">
        <f>'HEC-18 Bridge Scour'!C24</f>
        <v>Live-Bed</v>
      </c>
    </row>
    <row r="22" spans="1:26">
      <c r="A22" s="27"/>
      <c r="B22" s="27"/>
      <c r="C22" s="27"/>
      <c r="D22" s="27"/>
      <c r="E22" s="27"/>
      <c r="F22" s="27"/>
      <c r="G22" s="27"/>
      <c r="H22" s="27"/>
      <c r="I22" s="27"/>
      <c r="J22" s="27"/>
      <c r="K22" s="27"/>
      <c r="L22" s="27"/>
      <c r="M22" s="27"/>
      <c r="N22" s="27"/>
      <c r="O22" s="27"/>
      <c r="P22" s="27"/>
      <c r="Q22" s="27"/>
      <c r="R22" s="27"/>
      <c r="S22" s="27"/>
      <c r="T22" s="27"/>
      <c r="U22" s="27"/>
      <c r="V22" s="27"/>
      <c r="W22" s="27"/>
      <c r="X22" s="27"/>
      <c r="Y22" s="27"/>
      <c r="Z22" s="27"/>
    </row>
    <row r="23" spans="1:26">
      <c r="A23" s="192" t="s">
        <v>50</v>
      </c>
      <c r="B23" s="193"/>
      <c r="C23" s="193"/>
      <c r="D23" s="193"/>
      <c r="E23" s="193"/>
      <c r="F23" s="193"/>
      <c r="G23" s="193"/>
      <c r="H23" s="193"/>
      <c r="I23" s="193"/>
      <c r="J23" s="193"/>
      <c r="K23" s="193"/>
      <c r="L23" s="193"/>
      <c r="M23" s="193"/>
      <c r="N23" s="193"/>
      <c r="O23" s="193"/>
      <c r="P23" s="193"/>
      <c r="Q23" s="193"/>
      <c r="R23" s="193"/>
      <c r="S23" s="193"/>
      <c r="T23" s="193"/>
      <c r="U23" s="193"/>
      <c r="V23" s="193"/>
      <c r="W23" s="193"/>
      <c r="X23" s="193"/>
      <c r="Y23" s="193"/>
      <c r="Z23" s="194"/>
    </row>
    <row r="25" spans="1:26">
      <c r="A25" s="9"/>
    </row>
    <row r="27" spans="1:26">
      <c r="B27" s="11" t="s">
        <v>54</v>
      </c>
      <c r="C27" s="12">
        <f>'HEC-18 Bridge Scour'!C18</f>
        <v>17</v>
      </c>
      <c r="D27" t="s">
        <v>10</v>
      </c>
    </row>
    <row r="28" spans="1:26">
      <c r="B28" s="11" t="s">
        <v>55</v>
      </c>
      <c r="C28" s="12">
        <f>'HEC-18 Bridge Scour'!C21</f>
        <v>15</v>
      </c>
      <c r="D28" t="s">
        <v>10</v>
      </c>
    </row>
    <row r="29" spans="1:26">
      <c r="B29" s="11" t="s">
        <v>56</v>
      </c>
      <c r="C29" s="12">
        <f>'HEC-18 Bridge Scour'!C9</f>
        <v>7140</v>
      </c>
      <c r="D29" t="s">
        <v>9</v>
      </c>
    </row>
    <row r="30" spans="1:26">
      <c r="B30" s="11" t="s">
        <v>57</v>
      </c>
      <c r="C30" s="12">
        <f>'HEC-18 Bridge Scour'!C10</f>
        <v>9153</v>
      </c>
      <c r="D30" t="s">
        <v>9</v>
      </c>
    </row>
    <row r="31" spans="1:26">
      <c r="B31" s="11" t="s">
        <v>58</v>
      </c>
      <c r="C31" s="12">
        <f>'HEC-18 Bridge Scour'!C13</f>
        <v>432</v>
      </c>
      <c r="D31" t="s">
        <v>10</v>
      </c>
    </row>
    <row r="32" spans="1:26">
      <c r="B32" s="11" t="s">
        <v>59</v>
      </c>
      <c r="C32" s="12">
        <f>'HEC-18 Bridge Scour'!C14</f>
        <v>350</v>
      </c>
      <c r="D32" t="s">
        <v>10</v>
      </c>
    </row>
    <row r="33" spans="2:4">
      <c r="B33" s="11" t="s">
        <v>60</v>
      </c>
      <c r="C33" s="12">
        <f>'HEC-18 Bridge Scour'!C17</f>
        <v>1.1399999999999999</v>
      </c>
      <c r="D33" t="s">
        <v>63</v>
      </c>
    </row>
    <row r="34" spans="2:4">
      <c r="B34" s="11" t="s">
        <v>46</v>
      </c>
      <c r="C34" s="12">
        <f>'HEC-18 Bridge Scour'!C23</f>
        <v>1.5</v>
      </c>
      <c r="D34" s="9" t="s">
        <v>12</v>
      </c>
    </row>
    <row r="36" spans="2:4">
      <c r="B36" s="11" t="s">
        <v>61</v>
      </c>
      <c r="C36" s="28">
        <f>(32.2*C28*C33)^(1/2)</f>
        <v>23.465293520431402</v>
      </c>
      <c r="D36" t="s">
        <v>43</v>
      </c>
    </row>
    <row r="37" spans="2:4">
      <c r="B37" s="11" t="s">
        <v>62</v>
      </c>
      <c r="C37" s="28">
        <f>3.28*IF(C34&gt;0.1,(-0.0002*C34^4+0.0035*C34^3-0.0292*C34^2+0.144*C34-0.0086),0.4798*C34^1.9029)</f>
        <v>0.50019999999999987</v>
      </c>
      <c r="D37" t="s">
        <v>43</v>
      </c>
    </row>
    <row r="38" spans="2:4">
      <c r="B38" s="12" t="s">
        <v>74</v>
      </c>
      <c r="C38" s="28">
        <f>C36/C37</f>
        <v>46.911822311938039</v>
      </c>
    </row>
    <row r="39" spans="2:4">
      <c r="B39" s="11" t="s">
        <v>73</v>
      </c>
      <c r="C39" s="12">
        <f>IF(C38&lt;0.5,0.59,IF(C38&gt;2,0.69,0.64))</f>
        <v>0.69</v>
      </c>
    </row>
    <row r="40" spans="2:4">
      <c r="B40" s="11" t="s">
        <v>64</v>
      </c>
      <c r="C40" s="29">
        <f>C28*(C30/C29)^(6/7)*(C31/C32)^C39</f>
        <v>21.45971860197993</v>
      </c>
      <c r="D40" t="s">
        <v>10</v>
      </c>
    </row>
    <row r="41" spans="2:4">
      <c r="C41" s="12"/>
    </row>
    <row r="42" spans="2:4">
      <c r="B42" s="11" t="s">
        <v>65</v>
      </c>
      <c r="C42" s="29">
        <f>IF((C40-C27)&lt;0,0,C40-C27)</f>
        <v>4.4597186019799295</v>
      </c>
      <c r="D42" t="s">
        <v>10</v>
      </c>
    </row>
    <row r="44" spans="2:4">
      <c r="C44" s="49"/>
    </row>
    <row r="45" spans="2:4">
      <c r="C45" s="49"/>
    </row>
    <row r="51" spans="1:38">
      <c r="AE51" s="12">
        <v>3.9E-2</v>
      </c>
      <c r="AF51" s="12">
        <v>1E-3</v>
      </c>
      <c r="AH51" s="12">
        <v>0.03</v>
      </c>
      <c r="AI51" s="12">
        <v>1E-3</v>
      </c>
    </row>
    <row r="52" spans="1:38">
      <c r="AE52" s="12">
        <v>0.1</v>
      </c>
      <c r="AF52" s="12">
        <v>6.0000000000000001E-3</v>
      </c>
      <c r="AH52" s="12">
        <v>7.0000000000000007E-2</v>
      </c>
      <c r="AI52" s="12">
        <v>5.3E-3</v>
      </c>
    </row>
    <row r="53" spans="1:38" ht="17.25">
      <c r="AE53" s="12">
        <v>0.21</v>
      </c>
      <c r="AF53" s="12">
        <v>0.02</v>
      </c>
      <c r="AH53" s="12">
        <v>0.1</v>
      </c>
      <c r="AI53" s="12">
        <v>9.4999999999999998E-3</v>
      </c>
      <c r="AK53" t="s">
        <v>187</v>
      </c>
      <c r="AL53" s="49" t="s">
        <v>191</v>
      </c>
    </row>
    <row r="54" spans="1:38">
      <c r="AE54" s="12">
        <v>0.63</v>
      </c>
      <c r="AF54" s="12">
        <v>7.0000000000000007E-2</v>
      </c>
      <c r="AH54" s="12">
        <v>0.2</v>
      </c>
      <c r="AI54" s="12">
        <v>2.5000000000000001E-2</v>
      </c>
      <c r="AK54" s="9" t="s">
        <v>188</v>
      </c>
      <c r="AL54" s="49" t="s">
        <v>194</v>
      </c>
    </row>
    <row r="55" spans="1:38" ht="17.25">
      <c r="AE55" s="12">
        <v>0.89</v>
      </c>
      <c r="AF55" s="12">
        <v>0.1</v>
      </c>
      <c r="AH55" s="12">
        <v>0.3</v>
      </c>
      <c r="AI55" s="12">
        <v>4.2000000000000003E-2</v>
      </c>
      <c r="AK55" s="9" t="s">
        <v>189</v>
      </c>
      <c r="AL55" s="49" t="s">
        <v>192</v>
      </c>
    </row>
    <row r="56" spans="1:38">
      <c r="AE56" s="12">
        <v>2.2000000000000002</v>
      </c>
      <c r="AF56" s="12">
        <v>0.2</v>
      </c>
      <c r="AH56" s="12">
        <v>0.4</v>
      </c>
      <c r="AI56" s="12">
        <v>5.8000000000000003E-2</v>
      </c>
      <c r="AK56" s="9" t="s">
        <v>190</v>
      </c>
      <c r="AL56" s="49" t="s">
        <v>193</v>
      </c>
    </row>
    <row r="57" spans="1:38">
      <c r="AE57" s="12">
        <v>4.5</v>
      </c>
      <c r="AF57" s="12">
        <v>0.3</v>
      </c>
      <c r="AH57" s="12">
        <v>0.7</v>
      </c>
      <c r="AI57" s="12">
        <v>9.9000000000000005E-2</v>
      </c>
    </row>
    <row r="58" spans="1:38">
      <c r="AE58" s="12">
        <v>7.8</v>
      </c>
      <c r="AF58" s="12">
        <v>0.4</v>
      </c>
      <c r="AH58" s="12">
        <v>1</v>
      </c>
      <c r="AI58" s="12">
        <v>0.13</v>
      </c>
    </row>
    <row r="59" spans="1:38">
      <c r="AH59" s="12">
        <v>2</v>
      </c>
      <c r="AI59" s="12">
        <v>0.20799999999999999</v>
      </c>
    </row>
    <row r="60" spans="1:38">
      <c r="AH60" s="12">
        <v>4</v>
      </c>
      <c r="AI60" s="12">
        <v>0.3</v>
      </c>
    </row>
    <row r="61" spans="1:38">
      <c r="AH61" s="12">
        <v>7.8</v>
      </c>
      <c r="AI61" s="12">
        <v>0.4</v>
      </c>
    </row>
    <row r="62" spans="1:38">
      <c r="A62" s="27"/>
      <c r="B62" s="27"/>
      <c r="C62" s="27"/>
      <c r="D62" s="27"/>
      <c r="E62" s="27"/>
      <c r="F62" s="27"/>
      <c r="G62" s="27"/>
      <c r="H62" s="27"/>
      <c r="I62" s="27"/>
      <c r="J62" s="27"/>
      <c r="K62" s="27"/>
      <c r="L62" s="27"/>
      <c r="M62" s="27"/>
      <c r="N62" s="27"/>
      <c r="O62" s="27"/>
      <c r="P62" s="27"/>
      <c r="Q62" s="27"/>
      <c r="R62" s="27"/>
      <c r="S62" s="27"/>
      <c r="T62" s="27"/>
      <c r="U62" s="27"/>
      <c r="V62" s="27"/>
      <c r="W62" s="27"/>
      <c r="X62" s="27"/>
      <c r="Y62" s="27"/>
      <c r="Z62" s="27"/>
    </row>
    <row r="63" spans="1:38">
      <c r="A63" s="192" t="s">
        <v>75</v>
      </c>
      <c r="B63" s="193"/>
      <c r="C63" s="193"/>
      <c r="D63" s="193"/>
      <c r="E63" s="193"/>
      <c r="F63" s="193"/>
      <c r="G63" s="193"/>
      <c r="H63" s="193"/>
      <c r="I63" s="193"/>
      <c r="J63" s="193"/>
      <c r="K63" s="193"/>
      <c r="L63" s="193"/>
      <c r="M63" s="193"/>
      <c r="N63" s="193"/>
      <c r="O63" s="193"/>
      <c r="P63" s="193"/>
      <c r="Q63" s="193"/>
      <c r="R63" s="193"/>
      <c r="S63" s="193"/>
      <c r="T63" s="193"/>
      <c r="U63" s="193"/>
      <c r="V63" s="193"/>
      <c r="W63" s="193"/>
      <c r="X63" s="193"/>
      <c r="Y63" s="193"/>
      <c r="Z63" s="194"/>
    </row>
    <row r="64" spans="1:38">
      <c r="A64" s="9"/>
      <c r="B64" s="9"/>
      <c r="C64" s="9"/>
      <c r="D64" s="9"/>
      <c r="E64" s="9"/>
      <c r="F64" s="9"/>
      <c r="G64" s="9"/>
      <c r="H64" s="9"/>
      <c r="I64" s="9"/>
      <c r="J64" s="9"/>
      <c r="K64" s="9"/>
      <c r="L64" s="9"/>
      <c r="M64" s="9"/>
      <c r="N64" s="9"/>
      <c r="O64" s="9"/>
      <c r="P64" s="9"/>
      <c r="Q64" s="9"/>
      <c r="R64" s="9"/>
      <c r="S64" s="9"/>
      <c r="T64" s="9"/>
      <c r="U64" s="9"/>
      <c r="V64" s="9"/>
      <c r="W64" s="9"/>
      <c r="X64" s="9"/>
      <c r="Y64" s="9"/>
      <c r="Z64" s="9"/>
    </row>
    <row r="65" spans="2:5">
      <c r="B65" s="11" t="s">
        <v>51</v>
      </c>
      <c r="C65" s="12">
        <f>'HEC-18 Bridge Scour'!C10</f>
        <v>9153</v>
      </c>
      <c r="D65" t="s">
        <v>9</v>
      </c>
      <c r="E65" s="9" t="s">
        <v>207</v>
      </c>
    </row>
    <row r="66" spans="2:5">
      <c r="B66" s="11" t="s">
        <v>79</v>
      </c>
      <c r="C66" s="12">
        <f>'HEC-18 Bridge Scour'!C11</f>
        <v>50</v>
      </c>
      <c r="D66" s="9" t="s">
        <v>9</v>
      </c>
      <c r="E66" s="9" t="s">
        <v>104</v>
      </c>
    </row>
    <row r="67" spans="2:5">
      <c r="B67" s="11" t="s">
        <v>80</v>
      </c>
      <c r="C67" s="12">
        <f>'HEC-18 Bridge Scour'!C12</f>
        <v>50</v>
      </c>
      <c r="D67" s="9" t="s">
        <v>9</v>
      </c>
      <c r="E67" s="9" t="s">
        <v>454</v>
      </c>
    </row>
    <row r="68" spans="2:5">
      <c r="B68" s="11" t="s">
        <v>46</v>
      </c>
      <c r="C68" s="12">
        <f>'HEC-18 Bridge Scour'!C23</f>
        <v>1.5</v>
      </c>
      <c r="D68" t="s">
        <v>12</v>
      </c>
    </row>
    <row r="69" spans="2:5">
      <c r="B69" s="11" t="s">
        <v>76</v>
      </c>
      <c r="C69" s="12">
        <f>C68*1.25*0.00328084</f>
        <v>6.1515750000000003E-3</v>
      </c>
      <c r="D69" t="s">
        <v>10</v>
      </c>
    </row>
    <row r="70" spans="2:5">
      <c r="B70" s="11" t="s">
        <v>52</v>
      </c>
      <c r="C70" s="12">
        <f>'HEC-18 Bridge Scour'!C14</f>
        <v>350</v>
      </c>
      <c r="D70" t="s">
        <v>10</v>
      </c>
      <c r="E70" s="9" t="s">
        <v>102</v>
      </c>
    </row>
    <row r="71" spans="2:5">
      <c r="B71" s="11" t="s">
        <v>85</v>
      </c>
      <c r="C71" s="12">
        <f>'HEC-18 Bridge Scour'!C15</f>
        <v>31</v>
      </c>
      <c r="D71" s="9" t="s">
        <v>10</v>
      </c>
      <c r="E71" s="9" t="s">
        <v>103</v>
      </c>
    </row>
    <row r="72" spans="2:5">
      <c r="B72" s="11" t="s">
        <v>86</v>
      </c>
      <c r="C72" s="12">
        <f>'HEC-18 Bridge Scour'!C16</f>
        <v>33</v>
      </c>
      <c r="D72" s="9" t="s">
        <v>10</v>
      </c>
      <c r="E72" s="9" t="s">
        <v>455</v>
      </c>
    </row>
    <row r="73" spans="2:5">
      <c r="B73" s="11" t="s">
        <v>53</v>
      </c>
      <c r="C73" s="12">
        <f>'HEC-18 Bridge Scour'!C18</f>
        <v>17</v>
      </c>
      <c r="D73" s="9" t="s">
        <v>10</v>
      </c>
      <c r="E73" t="s">
        <v>101</v>
      </c>
    </row>
    <row r="74" spans="2:5">
      <c r="B74" s="11" t="s">
        <v>77</v>
      </c>
      <c r="C74" s="12">
        <f>'HEC-18 Bridge Scour'!C19</f>
        <v>4.5</v>
      </c>
      <c r="D74" s="9" t="s">
        <v>10</v>
      </c>
      <c r="E74" t="s">
        <v>100</v>
      </c>
    </row>
    <row r="75" spans="2:5">
      <c r="B75" s="11" t="s">
        <v>78</v>
      </c>
      <c r="C75" s="12">
        <f>'HEC-18 Bridge Scour'!C20</f>
        <v>1.5</v>
      </c>
      <c r="D75" s="9" t="s">
        <v>10</v>
      </c>
      <c r="E75" t="s">
        <v>456</v>
      </c>
    </row>
    <row r="76" spans="2:5">
      <c r="B76" s="11" t="s">
        <v>41</v>
      </c>
      <c r="C76" s="12">
        <v>7.7000000000000002E-3</v>
      </c>
      <c r="D76" t="s">
        <v>42</v>
      </c>
    </row>
    <row r="78" spans="2:5">
      <c r="B78" s="11" t="s">
        <v>64</v>
      </c>
      <c r="C78" s="29">
        <f>((C76*C65^2)/(C69^(2/3)*C70^2))^(3/7)</f>
        <v>8.7281977389517511</v>
      </c>
      <c r="D78" t="s">
        <v>10</v>
      </c>
    </row>
    <row r="79" spans="2:5">
      <c r="B79" s="11" t="s">
        <v>94</v>
      </c>
      <c r="C79" s="29">
        <f>((C76*C66^2)/(C69^(2/3)*C71^2))^(3/7)</f>
        <v>0.80145378553693503</v>
      </c>
      <c r="D79" t="s">
        <v>10</v>
      </c>
    </row>
    <row r="80" spans="2:5">
      <c r="B80" s="11" t="s">
        <v>95</v>
      </c>
      <c r="C80" s="29">
        <f>((C76*C67^2)/(C69^(2/3)*C72^2))^(3/7)</f>
        <v>0.75963528733126995</v>
      </c>
      <c r="D80" t="s">
        <v>10</v>
      </c>
    </row>
    <row r="81" spans="1:26">
      <c r="C81" s="29"/>
    </row>
    <row r="82" spans="1:26">
      <c r="B82" s="11" t="s">
        <v>65</v>
      </c>
      <c r="C82" s="29">
        <f>IF((C78-C73)&lt;0,0,C78-C73)</f>
        <v>0</v>
      </c>
      <c r="D82" t="s">
        <v>10</v>
      </c>
      <c r="E82" t="s">
        <v>457</v>
      </c>
    </row>
    <row r="83" spans="1:26">
      <c r="B83" s="11" t="s">
        <v>96</v>
      </c>
      <c r="C83" s="29">
        <f>IF(ISERROR(C79),"N/A",IF((C79-C74)&lt;0,0,C79-C74))</f>
        <v>0</v>
      </c>
      <c r="D83" t="s">
        <v>10</v>
      </c>
      <c r="E83" s="9" t="s">
        <v>98</v>
      </c>
    </row>
    <row r="84" spans="1:26">
      <c r="B84" s="11" t="s">
        <v>97</v>
      </c>
      <c r="C84" s="29">
        <f>IF(ISERROR(C80),"N/A",IF((C80-C75)&lt;0,0,C80-C75))</f>
        <v>0</v>
      </c>
      <c r="D84" t="s">
        <v>10</v>
      </c>
      <c r="E84" s="9" t="s">
        <v>99</v>
      </c>
    </row>
    <row r="90" spans="1:26">
      <c r="A90" s="27"/>
      <c r="B90" s="27"/>
      <c r="C90" s="27"/>
      <c r="D90" s="27"/>
      <c r="E90" s="27"/>
      <c r="F90" s="27"/>
      <c r="G90" s="27"/>
      <c r="H90" s="27"/>
      <c r="I90" s="27"/>
      <c r="J90" s="27"/>
      <c r="K90" s="27"/>
      <c r="L90" s="27"/>
      <c r="M90" s="27"/>
      <c r="N90" s="27"/>
      <c r="O90" s="27"/>
      <c r="P90" s="27"/>
      <c r="Q90" s="27"/>
      <c r="R90" s="27"/>
      <c r="S90" s="27"/>
      <c r="T90" s="27"/>
      <c r="U90" s="27"/>
      <c r="V90" s="27"/>
      <c r="W90" s="27"/>
      <c r="X90" s="27"/>
      <c r="Y90" s="27"/>
      <c r="Z90" s="27"/>
    </row>
    <row r="91" spans="1:26">
      <c r="A91" s="192" t="s">
        <v>93</v>
      </c>
      <c r="B91" s="193"/>
      <c r="C91" s="193"/>
      <c r="D91" s="193"/>
      <c r="E91" s="193"/>
      <c r="F91" s="193"/>
      <c r="G91" s="193"/>
      <c r="H91" s="193"/>
      <c r="I91" s="193"/>
      <c r="J91" s="193"/>
      <c r="K91" s="193"/>
      <c r="L91" s="193"/>
      <c r="M91" s="193"/>
      <c r="N91" s="193"/>
      <c r="O91" s="193"/>
      <c r="P91" s="193"/>
      <c r="Q91" s="193"/>
      <c r="R91" s="193"/>
      <c r="S91" s="193"/>
      <c r="T91" s="193"/>
      <c r="U91" s="193"/>
      <c r="V91" s="193"/>
      <c r="W91" s="193"/>
      <c r="X91" s="193"/>
      <c r="Y91" s="193"/>
      <c r="Z91" s="194"/>
    </row>
    <row r="93" spans="1:26" s="9" customFormat="1">
      <c r="B93" s="11" t="s">
        <v>0</v>
      </c>
      <c r="C93" s="9" t="str">
        <f>IF(D21=0,D20,D21)</f>
        <v>Live-Bed</v>
      </c>
    </row>
    <row r="94" spans="1:26" s="9" customFormat="1">
      <c r="B94" s="11" t="s">
        <v>118</v>
      </c>
      <c r="C94" s="9" t="str">
        <f>IF(D21=0,"Calculated","User Defined")</f>
        <v>User Defined</v>
      </c>
    </row>
    <row r="95" spans="1:26">
      <c r="B95" s="11" t="s">
        <v>65</v>
      </c>
      <c r="C95" s="29">
        <f>IF(C93="Clear Water",C82,C42)</f>
        <v>4.4597186019799295</v>
      </c>
      <c r="D95" s="9" t="s">
        <v>10</v>
      </c>
      <c r="E95" s="9" t="str">
        <f>IF(C95=0,"No contraction scour","Contraction scour present")</f>
        <v>Contraction scour present</v>
      </c>
    </row>
    <row r="96" spans="1:26">
      <c r="B96" s="11" t="s">
        <v>96</v>
      </c>
      <c r="C96" s="29">
        <f>C83</f>
        <v>0</v>
      </c>
      <c r="D96" s="9" t="s">
        <v>10</v>
      </c>
      <c r="E96" t="str">
        <f>IF(C96="N/A","Abutment is located at bank or extends into channel",IF(C96=0,"No overbank contraction scour","Overbank contraction scour"))</f>
        <v>No overbank contraction scour</v>
      </c>
    </row>
    <row r="97" spans="1:16">
      <c r="B97" s="11" t="s">
        <v>97</v>
      </c>
      <c r="C97" s="29">
        <f>C84</f>
        <v>0</v>
      </c>
      <c r="D97" s="9" t="s">
        <v>10</v>
      </c>
      <c r="E97" s="9" t="str">
        <f>IF(C97="N/A","Abutment is located at bank or extends into channel",IF(C97=0,"No overbank contraction scour","Overbank contraction scour"))</f>
        <v>No overbank contraction scour</v>
      </c>
    </row>
    <row r="99" spans="1:16">
      <c r="A99" s="165" t="s">
        <v>105</v>
      </c>
      <c r="B99" s="165"/>
      <c r="C99" s="165"/>
      <c r="D99" s="165"/>
      <c r="E99" s="165"/>
      <c r="F99" s="165"/>
      <c r="G99" s="165"/>
      <c r="H99" s="165"/>
      <c r="I99" s="165"/>
      <c r="J99" s="165"/>
      <c r="K99" s="165"/>
      <c r="L99" s="165"/>
      <c r="M99" s="165"/>
      <c r="N99" s="165"/>
      <c r="O99" s="165"/>
      <c r="P99" s="165"/>
    </row>
    <row r="100" spans="1:16">
      <c r="A100" s="165"/>
      <c r="B100" s="165"/>
      <c r="C100" s="165"/>
      <c r="D100" s="165"/>
      <c r="E100" s="165"/>
      <c r="F100" s="165"/>
      <c r="G100" s="165"/>
      <c r="H100" s="165"/>
      <c r="I100" s="165"/>
      <c r="J100" s="165"/>
      <c r="K100" s="165"/>
      <c r="L100" s="165"/>
      <c r="M100" s="165"/>
      <c r="N100" s="165"/>
      <c r="O100" s="165"/>
      <c r="P100" s="165"/>
    </row>
  </sheetData>
  <sheetProtection algorithmName="SHA-512" hashValue="x9rWF6Q7vti+91NCTnQ1GpeJ0vQr9sagTl7dK8Epx5NifEcPHL2HjIjcaArBQ580+wLS8aHFBNOo7DjtgJO2Cw==" saltValue="ueqdclSKzFx4RT7DY/SmeA==" spinCount="100000" sheet="1" objects="1" scenarios="1"/>
  <mergeCells count="5">
    <mergeCell ref="A99:P100"/>
    <mergeCell ref="A91:Z91"/>
    <mergeCell ref="A63:Z63"/>
    <mergeCell ref="A23:Z23"/>
    <mergeCell ref="A5:Z5"/>
  </mergeCells>
  <phoneticPr fontId="7" type="noConversion"/>
  <pageMargins left="0.7" right="0.7" top="0.75" bottom="0.75" header="0.3" footer="0.3"/>
  <pageSetup orientation="portrait" horizontalDpi="4294967293" verticalDpi="0" r:id="rId1"/>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E90065C-0C7C-4776-9DBF-C9B1CE9109F4}">
  <sheetPr>
    <tabColor theme="5" tint="0.39997558519241921"/>
  </sheetPr>
  <dimension ref="A1:Z130"/>
  <sheetViews>
    <sheetView topLeftCell="A58" zoomScale="115" zoomScaleNormal="115" workbookViewId="0">
      <selection activeCell="C73" sqref="C73"/>
    </sheetView>
  </sheetViews>
  <sheetFormatPr defaultRowHeight="15"/>
  <sheetData>
    <row r="1" spans="1:19">
      <c r="A1" s="10" t="s">
        <v>108</v>
      </c>
    </row>
    <row r="2" spans="1:19">
      <c r="A2" s="9" t="s">
        <v>36</v>
      </c>
    </row>
    <row r="3" spans="1:19">
      <c r="A3" s="9"/>
    </row>
    <row r="4" spans="1:19">
      <c r="A4" s="27"/>
    </row>
    <row r="9" spans="1:19">
      <c r="S9" t="s">
        <v>170</v>
      </c>
    </row>
    <row r="58" spans="1:26">
      <c r="A58" s="27"/>
      <c r="B58" s="27"/>
      <c r="C58" s="27"/>
      <c r="D58" s="27"/>
      <c r="E58" s="27"/>
      <c r="F58" s="27"/>
      <c r="G58" s="27"/>
      <c r="H58" s="27"/>
      <c r="I58" s="27"/>
      <c r="J58" s="27"/>
      <c r="K58" s="27"/>
      <c r="L58" s="27"/>
      <c r="M58" s="27"/>
      <c r="N58" s="27"/>
      <c r="O58" s="27"/>
      <c r="P58" s="27"/>
      <c r="Q58" s="27"/>
      <c r="R58" s="27"/>
      <c r="S58" s="27"/>
      <c r="T58" s="27"/>
      <c r="U58" s="27"/>
      <c r="V58" s="27"/>
      <c r="W58" s="27"/>
      <c r="X58" s="27"/>
      <c r="Y58" s="27"/>
      <c r="Z58" s="27"/>
    </row>
    <row r="59" spans="1:26">
      <c r="A59" s="192" t="s">
        <v>119</v>
      </c>
      <c r="B59" s="193"/>
      <c r="C59" s="193"/>
      <c r="D59" s="193"/>
      <c r="E59" s="193"/>
      <c r="F59" s="193"/>
      <c r="G59" s="193"/>
      <c r="H59" s="193"/>
      <c r="I59" s="193"/>
      <c r="J59" s="193"/>
      <c r="K59" s="193"/>
      <c r="L59" s="193"/>
      <c r="M59" s="193"/>
      <c r="N59" s="193"/>
      <c r="O59" s="193"/>
      <c r="P59" s="193"/>
      <c r="Q59" s="193"/>
      <c r="R59" s="193"/>
      <c r="S59" s="193"/>
      <c r="T59" s="193"/>
      <c r="U59" s="193"/>
      <c r="V59" s="193"/>
      <c r="W59" s="193"/>
      <c r="X59" s="193"/>
      <c r="Y59" s="193"/>
      <c r="Z59" s="194"/>
    </row>
    <row r="60" spans="1:26">
      <c r="A60" s="9"/>
      <c r="B60" s="9"/>
      <c r="C60" s="9"/>
      <c r="D60" s="9"/>
      <c r="E60" s="9"/>
      <c r="F60" s="9"/>
      <c r="G60" s="9"/>
      <c r="H60" s="9"/>
      <c r="I60" s="9"/>
      <c r="J60" s="9"/>
      <c r="K60" s="9"/>
      <c r="L60" s="9"/>
      <c r="M60" s="9"/>
      <c r="N60" s="9"/>
      <c r="O60" s="9"/>
      <c r="P60" s="9"/>
      <c r="Q60" s="9"/>
      <c r="R60" s="9"/>
      <c r="S60" s="9"/>
      <c r="T60" s="9"/>
      <c r="U60" s="9"/>
      <c r="V60" s="9"/>
      <c r="W60" s="9"/>
      <c r="X60" s="9"/>
      <c r="Y60" s="9"/>
      <c r="Z60" s="9"/>
    </row>
    <row r="61" spans="1:26">
      <c r="A61" s="10" t="s">
        <v>122</v>
      </c>
      <c r="B61" s="9"/>
      <c r="C61" s="9"/>
      <c r="D61" s="9"/>
      <c r="E61" s="9"/>
      <c r="F61" s="9"/>
      <c r="G61" s="9"/>
      <c r="H61" s="9"/>
      <c r="I61" s="9"/>
      <c r="J61" s="9"/>
      <c r="K61" s="9"/>
      <c r="L61" s="9"/>
      <c r="M61" s="9"/>
      <c r="N61" s="9"/>
      <c r="O61" s="9"/>
      <c r="P61" s="9"/>
      <c r="Q61" s="9"/>
      <c r="R61" s="9"/>
      <c r="S61" s="9"/>
      <c r="T61" s="9"/>
      <c r="U61" s="9"/>
      <c r="V61" s="9"/>
      <c r="W61" s="9"/>
      <c r="X61" s="9"/>
      <c r="Y61" s="9"/>
      <c r="Z61" s="9"/>
    </row>
    <row r="62" spans="1:26">
      <c r="A62" s="9"/>
      <c r="C62" s="9"/>
      <c r="D62" s="9"/>
      <c r="E62" s="9"/>
      <c r="F62" s="9"/>
      <c r="G62" s="9"/>
      <c r="H62" s="9"/>
      <c r="I62" s="9"/>
      <c r="J62" s="9"/>
      <c r="K62" s="9"/>
      <c r="L62" s="9"/>
      <c r="M62" s="9"/>
      <c r="N62" s="9"/>
      <c r="O62" s="9"/>
      <c r="P62" s="9"/>
      <c r="Q62" s="9"/>
      <c r="R62" s="9"/>
      <c r="S62" s="9"/>
      <c r="T62" s="9"/>
      <c r="U62" s="9"/>
      <c r="V62" s="9"/>
      <c r="W62" s="9"/>
      <c r="X62" s="9"/>
      <c r="Y62" s="9"/>
      <c r="Z62" s="9"/>
    </row>
    <row r="63" spans="1:26">
      <c r="A63" s="9"/>
      <c r="B63" s="11" t="s">
        <v>124</v>
      </c>
      <c r="C63" s="90">
        <f>'HEC-18 Bridge Scour'!C25</f>
        <v>14116</v>
      </c>
      <c r="D63" s="9" t="s">
        <v>9</v>
      </c>
      <c r="E63" s="9"/>
      <c r="F63" s="9"/>
      <c r="G63" s="9"/>
      <c r="H63" s="9"/>
      <c r="I63" s="9"/>
      <c r="J63" s="9"/>
      <c r="K63" s="9"/>
      <c r="L63" s="9"/>
      <c r="M63" s="9"/>
      <c r="N63" s="9"/>
      <c r="O63" s="9"/>
      <c r="P63" s="9"/>
      <c r="Q63" s="9"/>
      <c r="R63" s="9"/>
      <c r="S63" s="9"/>
      <c r="T63" s="9"/>
      <c r="U63" s="9"/>
      <c r="V63" s="9"/>
      <c r="W63" s="9"/>
      <c r="X63" s="9"/>
      <c r="Y63" s="9"/>
      <c r="Z63" s="9"/>
    </row>
    <row r="64" spans="1:26">
      <c r="A64" s="9"/>
      <c r="B64" s="11" t="s">
        <v>125</v>
      </c>
      <c r="C64" s="90">
        <f>'HEC-18 Bridge Scour'!C26</f>
        <v>2823.2959999999998</v>
      </c>
      <c r="D64" s="9" t="s">
        <v>131</v>
      </c>
      <c r="E64" s="9"/>
      <c r="F64" s="9"/>
      <c r="G64" s="9"/>
      <c r="H64" s="9"/>
      <c r="I64" s="9"/>
      <c r="J64" s="9"/>
      <c r="K64" s="9"/>
      <c r="L64" s="9"/>
      <c r="M64" s="9"/>
      <c r="N64" s="9"/>
      <c r="O64" s="9"/>
      <c r="P64" s="9"/>
      <c r="Q64" s="9"/>
      <c r="R64" s="9"/>
      <c r="S64" s="9"/>
      <c r="T64" s="9"/>
      <c r="U64" s="9"/>
      <c r="V64" s="9"/>
      <c r="W64" s="9"/>
      <c r="X64" s="9"/>
      <c r="Y64" s="9"/>
      <c r="Z64" s="9"/>
    </row>
    <row r="65" spans="1:26">
      <c r="A65" s="9"/>
      <c r="B65" s="11" t="s">
        <v>126</v>
      </c>
      <c r="C65" s="90">
        <f>'HEC-18 Bridge Scour'!C28</f>
        <v>247</v>
      </c>
      <c r="D65" s="9" t="s">
        <v>10</v>
      </c>
      <c r="E65" s="9"/>
      <c r="F65" s="9"/>
      <c r="G65" s="9"/>
      <c r="H65" s="9"/>
      <c r="I65" s="11"/>
      <c r="J65" s="9"/>
      <c r="K65" s="9"/>
      <c r="L65" s="9"/>
      <c r="M65" s="9"/>
      <c r="N65" s="9"/>
      <c r="O65" s="9"/>
      <c r="P65" s="9"/>
      <c r="Q65" s="9"/>
      <c r="R65" s="9"/>
      <c r="S65" s="9"/>
      <c r="T65" s="9"/>
      <c r="U65" s="9"/>
      <c r="V65" s="9"/>
      <c r="W65" s="9"/>
      <c r="X65" s="9"/>
      <c r="Y65" s="9"/>
      <c r="Z65" s="9"/>
    </row>
    <row r="66" spans="1:26">
      <c r="A66" s="9"/>
      <c r="B66" s="11" t="s">
        <v>127</v>
      </c>
      <c r="C66" s="90">
        <f>'HEC-18 Bridge Scour'!C27</f>
        <v>140</v>
      </c>
      <c r="D66" s="9" t="s">
        <v>10</v>
      </c>
      <c r="E66" s="9"/>
      <c r="F66" s="9"/>
      <c r="G66" s="9"/>
      <c r="H66" s="9"/>
      <c r="I66" s="11"/>
      <c r="J66" s="36"/>
      <c r="K66" s="9"/>
      <c r="L66" s="9"/>
      <c r="M66" s="9"/>
      <c r="N66" s="9"/>
      <c r="O66" s="9"/>
      <c r="P66" s="9"/>
      <c r="Q66" s="9"/>
      <c r="R66" s="9"/>
      <c r="S66" s="9"/>
      <c r="T66" s="9"/>
      <c r="U66" s="9"/>
      <c r="V66" s="9"/>
      <c r="W66" s="9"/>
      <c r="X66" s="9"/>
      <c r="Y66" s="9"/>
      <c r="Z66" s="9"/>
    </row>
    <row r="67" spans="1:26">
      <c r="A67" s="9"/>
      <c r="B67" s="11" t="s">
        <v>128</v>
      </c>
      <c r="C67" s="90">
        <f>'HEC-18 Bridge Scour'!C30</f>
        <v>0.82</v>
      </c>
      <c r="D67" s="9"/>
      <c r="E67" s="9"/>
      <c r="F67" s="9"/>
      <c r="G67" s="9"/>
      <c r="H67" s="9"/>
      <c r="I67" s="11"/>
      <c r="J67" s="9"/>
      <c r="K67" s="9"/>
      <c r="L67" s="9"/>
      <c r="M67" s="9"/>
      <c r="N67" s="9"/>
      <c r="O67" s="9"/>
      <c r="P67" s="9"/>
      <c r="Q67" s="9"/>
      <c r="R67" s="9"/>
      <c r="S67" s="9"/>
      <c r="T67" s="9"/>
      <c r="U67" s="9"/>
      <c r="V67" s="9"/>
      <c r="W67" s="9"/>
      <c r="X67" s="9"/>
      <c r="Y67" s="9"/>
      <c r="Z67" s="9"/>
    </row>
    <row r="68" spans="1:26">
      <c r="A68" s="9"/>
      <c r="B68" s="11" t="s">
        <v>129</v>
      </c>
      <c r="C68" s="90">
        <f>'HEC-18 Bridge Scour'!C32</f>
        <v>1</v>
      </c>
      <c r="D68" s="9"/>
      <c r="E68" s="9"/>
      <c r="F68" s="9"/>
      <c r="G68" s="9"/>
      <c r="H68" s="9"/>
      <c r="K68" s="9"/>
      <c r="L68" s="9"/>
      <c r="M68" s="9"/>
      <c r="N68" s="9"/>
      <c r="O68" s="9"/>
      <c r="P68" s="9"/>
      <c r="Q68" s="9"/>
      <c r="R68" s="9"/>
      <c r="S68" s="9"/>
      <c r="T68" s="9"/>
      <c r="U68" s="9"/>
      <c r="V68" s="9"/>
      <c r="W68" s="9"/>
      <c r="X68" s="9"/>
      <c r="Y68" s="9"/>
      <c r="Z68" s="9"/>
    </row>
    <row r="69" spans="1:26">
      <c r="A69" s="9"/>
      <c r="B69" s="11" t="s">
        <v>132</v>
      </c>
      <c r="C69" s="90">
        <v>32.200000000000003</v>
      </c>
      <c r="D69" s="9" t="s">
        <v>133</v>
      </c>
      <c r="E69" s="9"/>
      <c r="F69" s="9"/>
      <c r="G69" s="9"/>
      <c r="H69" s="9"/>
      <c r="K69" s="9"/>
      <c r="L69" s="9"/>
      <c r="M69" s="9"/>
      <c r="N69" s="9"/>
      <c r="O69" s="9"/>
      <c r="P69" s="9"/>
      <c r="Q69" s="9"/>
      <c r="R69" s="9"/>
      <c r="S69" s="9"/>
      <c r="T69" s="9"/>
      <c r="U69" s="9"/>
      <c r="V69" s="9"/>
      <c r="W69" s="9"/>
      <c r="X69" s="9"/>
      <c r="Y69" s="9"/>
      <c r="Z69" s="9"/>
    </row>
    <row r="70" spans="1:26">
      <c r="A70" s="9"/>
      <c r="C70" s="90"/>
      <c r="E70" s="9"/>
      <c r="F70" s="9"/>
      <c r="G70" s="9"/>
      <c r="H70" s="9"/>
      <c r="I70" s="9"/>
      <c r="J70" s="9"/>
      <c r="K70" s="9"/>
      <c r="L70" s="9"/>
      <c r="M70" s="9"/>
      <c r="N70" s="9"/>
      <c r="O70" s="9"/>
      <c r="P70" s="9"/>
      <c r="Q70" s="9"/>
      <c r="R70" s="9"/>
      <c r="S70" s="9"/>
      <c r="T70" s="9"/>
      <c r="U70" s="9"/>
      <c r="V70" s="9"/>
      <c r="W70" s="9"/>
      <c r="X70" s="9"/>
      <c r="Y70" s="9"/>
      <c r="Z70" s="9"/>
    </row>
    <row r="71" spans="1:26">
      <c r="A71" s="9"/>
      <c r="B71" s="11" t="s">
        <v>120</v>
      </c>
      <c r="C71" s="90">
        <f>C63/C64</f>
        <v>4.9998299859455049</v>
      </c>
      <c r="D71" s="9" t="s">
        <v>43</v>
      </c>
      <c r="E71" s="9"/>
      <c r="F71" s="9"/>
      <c r="G71" s="9"/>
      <c r="H71" s="9"/>
      <c r="I71" s="9"/>
      <c r="J71" s="9"/>
      <c r="K71" s="9"/>
      <c r="L71" s="9"/>
      <c r="M71" s="9"/>
      <c r="N71" s="9"/>
      <c r="O71" s="9"/>
      <c r="P71" s="9"/>
      <c r="Q71" s="9"/>
      <c r="R71" s="9"/>
      <c r="S71" s="9"/>
      <c r="T71" s="9"/>
      <c r="U71" s="9"/>
      <c r="V71" s="9"/>
      <c r="W71" s="9"/>
      <c r="X71" s="9"/>
      <c r="Y71" s="9"/>
      <c r="Z71" s="9"/>
    </row>
    <row r="72" spans="1:26">
      <c r="A72" s="9"/>
      <c r="B72" s="11" t="s">
        <v>121</v>
      </c>
      <c r="C72" s="90">
        <v>4.5</v>
      </c>
      <c r="D72" s="131" t="s">
        <v>628</v>
      </c>
      <c r="E72" s="9"/>
      <c r="F72" s="9"/>
      <c r="G72" s="9"/>
      <c r="H72" s="9"/>
      <c r="I72" s="9"/>
      <c r="J72" s="9"/>
      <c r="K72" s="9"/>
      <c r="L72" s="9"/>
      <c r="M72" s="9"/>
      <c r="N72" s="9"/>
      <c r="O72" s="9"/>
      <c r="P72" s="9"/>
      <c r="Q72" s="9"/>
      <c r="R72" s="9"/>
      <c r="S72" s="9"/>
      <c r="T72" s="9"/>
      <c r="U72" s="9"/>
      <c r="V72" s="9"/>
      <c r="W72" s="9"/>
      <c r="X72" s="9"/>
      <c r="Y72" s="9"/>
      <c r="Z72" s="9"/>
    </row>
    <row r="73" spans="1:26">
      <c r="A73" s="9"/>
      <c r="B73" s="11" t="s">
        <v>130</v>
      </c>
      <c r="C73" s="90">
        <f>C71/(C69*C72)^(1/2)</f>
        <v>0.41535653146284612</v>
      </c>
      <c r="D73" s="9"/>
      <c r="E73" s="9"/>
      <c r="F73" s="9"/>
      <c r="G73" s="9"/>
      <c r="H73" s="9"/>
      <c r="I73" s="9"/>
      <c r="J73" s="9"/>
      <c r="K73" s="9"/>
      <c r="L73" s="9"/>
      <c r="M73" s="9"/>
      <c r="N73" s="9"/>
      <c r="O73" s="9"/>
      <c r="P73" s="9"/>
      <c r="Q73" s="9"/>
      <c r="R73" s="9"/>
      <c r="S73" s="9"/>
      <c r="T73" s="9"/>
      <c r="U73" s="9"/>
      <c r="V73" s="9"/>
      <c r="W73" s="9"/>
      <c r="X73" s="9"/>
      <c r="Y73" s="9"/>
      <c r="Z73" s="9"/>
    </row>
    <row r="74" spans="1:26" s="9" customFormat="1">
      <c r="C74" s="90"/>
      <c r="D74" s="2"/>
    </row>
    <row r="75" spans="1:26">
      <c r="B75" s="11" t="s">
        <v>65</v>
      </c>
      <c r="C75" s="29">
        <f>C72*(2.27*C67*C68*(C66/C72)^(0.43)*C73^(0.61)+1)</f>
        <v>25.990312691927066</v>
      </c>
    </row>
    <row r="76" spans="1:26">
      <c r="C76" s="90"/>
    </row>
    <row r="77" spans="1:26">
      <c r="A77" s="10" t="s">
        <v>151</v>
      </c>
      <c r="B77" s="9"/>
      <c r="C77" s="90"/>
      <c r="D77" s="9"/>
      <c r="E77" s="9"/>
      <c r="F77" s="9"/>
    </row>
    <row r="78" spans="1:26">
      <c r="A78" s="9"/>
      <c r="B78" s="9"/>
      <c r="C78" s="90"/>
      <c r="D78" s="9"/>
      <c r="E78" s="9"/>
      <c r="F78" s="9"/>
    </row>
    <row r="79" spans="1:26">
      <c r="A79" s="9"/>
      <c r="B79" s="11" t="s">
        <v>124</v>
      </c>
      <c r="C79" s="90">
        <f>'HEC-18 Bridge Scour'!C34</f>
        <v>3536.61</v>
      </c>
      <c r="D79" s="9" t="s">
        <v>9</v>
      </c>
      <c r="E79" s="9"/>
      <c r="F79" s="9"/>
    </row>
    <row r="80" spans="1:26">
      <c r="A80" s="9"/>
      <c r="B80" s="11" t="s">
        <v>125</v>
      </c>
      <c r="C80" s="90">
        <f>'HEC-18 Bridge Scour'!C35</f>
        <v>1684.1</v>
      </c>
      <c r="D80" s="9" t="s">
        <v>131</v>
      </c>
      <c r="E80" s="9"/>
      <c r="F80" s="9"/>
    </row>
    <row r="81" spans="1:26">
      <c r="A81" s="9"/>
      <c r="B81" s="11" t="s">
        <v>126</v>
      </c>
      <c r="C81" s="90">
        <f>'HEC-18 Bridge Scour'!C37</f>
        <v>307.81</v>
      </c>
      <c r="D81" s="9" t="s">
        <v>10</v>
      </c>
      <c r="E81" s="9"/>
      <c r="F81" s="9"/>
    </row>
    <row r="82" spans="1:26">
      <c r="A82" s="9"/>
      <c r="B82" s="11" t="s">
        <v>127</v>
      </c>
      <c r="C82" s="90">
        <f>'HEC-18 Bridge Scour'!C36</f>
        <v>140</v>
      </c>
      <c r="D82" s="9" t="s">
        <v>10</v>
      </c>
      <c r="E82" s="9"/>
      <c r="F82" s="9"/>
    </row>
    <row r="83" spans="1:26">
      <c r="A83" s="9"/>
      <c r="B83" s="11" t="s">
        <v>128</v>
      </c>
      <c r="C83" s="90">
        <f>'HEC-18 Bridge Scour'!C39</f>
        <v>0.82</v>
      </c>
      <c r="D83" s="9"/>
      <c r="E83" s="9"/>
      <c r="F83" s="9"/>
    </row>
    <row r="84" spans="1:26">
      <c r="A84" s="9"/>
      <c r="B84" s="11" t="s">
        <v>129</v>
      </c>
      <c r="C84" s="90">
        <f>'HEC-18 Bridge Scour'!C41</f>
        <v>1</v>
      </c>
      <c r="D84" s="9"/>
      <c r="E84" s="9"/>
      <c r="F84" s="9"/>
    </row>
    <row r="85" spans="1:26">
      <c r="A85" s="9"/>
      <c r="B85" s="11" t="s">
        <v>132</v>
      </c>
      <c r="C85" s="90">
        <v>32.200000000000003</v>
      </c>
      <c r="D85" s="9" t="s">
        <v>133</v>
      </c>
      <c r="E85" s="9"/>
      <c r="F85" s="9"/>
    </row>
    <row r="86" spans="1:26">
      <c r="A86" s="9"/>
      <c r="B86" s="9"/>
      <c r="C86" s="90"/>
      <c r="D86" s="9"/>
      <c r="E86" s="9"/>
      <c r="F86" s="9"/>
    </row>
    <row r="87" spans="1:26">
      <c r="A87" s="9"/>
      <c r="B87" s="11" t="s">
        <v>120</v>
      </c>
      <c r="C87" s="90">
        <f>C79/C80</f>
        <v>2.1</v>
      </c>
      <c r="D87" s="9" t="s">
        <v>43</v>
      </c>
      <c r="E87" s="9"/>
      <c r="F87" s="9"/>
    </row>
    <row r="88" spans="1:26">
      <c r="A88" s="9"/>
      <c r="B88" s="11" t="s">
        <v>121</v>
      </c>
      <c r="C88" s="90">
        <f>C80/C81</f>
        <v>5.4712322536629738</v>
      </c>
      <c r="D88" s="9" t="s">
        <v>43</v>
      </c>
      <c r="E88" s="9"/>
      <c r="F88" s="9"/>
    </row>
    <row r="89" spans="1:26">
      <c r="A89" s="9"/>
      <c r="B89" s="11" t="s">
        <v>130</v>
      </c>
      <c r="C89" s="90">
        <f>C87/(C85*C88)^(1/2)</f>
        <v>0.15821541087410829</v>
      </c>
      <c r="D89" s="9"/>
      <c r="E89" s="9"/>
      <c r="F89" s="9"/>
    </row>
    <row r="90" spans="1:26">
      <c r="A90" s="9"/>
      <c r="B90" s="9"/>
      <c r="C90" s="90"/>
      <c r="D90" s="2"/>
      <c r="E90" s="9"/>
      <c r="F90" s="9"/>
    </row>
    <row r="91" spans="1:26">
      <c r="A91" s="9"/>
      <c r="B91" s="11" t="s">
        <v>65</v>
      </c>
      <c r="C91" s="29">
        <f>C88*(2.27*C83*C84*(C82/C88)^(0.43)*C89^(0.61)+1)</f>
        <v>18.804145670689415</v>
      </c>
      <c r="D91" s="9"/>
      <c r="E91" s="9"/>
      <c r="F91" s="9"/>
    </row>
    <row r="93" spans="1:26">
      <c r="A93" s="27"/>
      <c r="B93" s="27"/>
      <c r="C93" s="27"/>
      <c r="D93" s="27"/>
      <c r="E93" s="27"/>
      <c r="F93" s="27"/>
      <c r="G93" s="27"/>
      <c r="H93" s="27"/>
      <c r="I93" s="27"/>
      <c r="J93" s="27"/>
      <c r="K93" s="27"/>
      <c r="L93" s="27"/>
      <c r="M93" s="27"/>
      <c r="N93" s="27"/>
      <c r="O93" s="27"/>
      <c r="P93" s="27"/>
      <c r="Q93" s="27"/>
      <c r="R93" s="27"/>
      <c r="S93" s="27"/>
      <c r="T93" s="27"/>
      <c r="U93" s="27"/>
      <c r="V93" s="27"/>
      <c r="W93" s="27"/>
      <c r="X93" s="27"/>
      <c r="Y93" s="27"/>
      <c r="Z93" s="27"/>
    </row>
    <row r="94" spans="1:26">
      <c r="A94" s="192" t="s">
        <v>157</v>
      </c>
      <c r="B94" s="193"/>
      <c r="C94" s="193"/>
      <c r="D94" s="193"/>
      <c r="E94" s="193"/>
      <c r="F94" s="193"/>
      <c r="G94" s="193"/>
      <c r="H94" s="193"/>
      <c r="I94" s="193"/>
      <c r="J94" s="193"/>
      <c r="K94" s="193"/>
      <c r="L94" s="193"/>
      <c r="M94" s="193"/>
      <c r="N94" s="193"/>
      <c r="O94" s="193"/>
      <c r="P94" s="193"/>
      <c r="Q94" s="193"/>
      <c r="R94" s="193"/>
      <c r="S94" s="193"/>
      <c r="T94" s="193"/>
      <c r="U94" s="193"/>
      <c r="V94" s="193"/>
      <c r="W94" s="193"/>
      <c r="X94" s="193"/>
      <c r="Y94" s="193"/>
      <c r="Z94" s="194"/>
    </row>
    <row r="95" spans="1:26">
      <c r="A95" s="9"/>
      <c r="B95" s="9"/>
      <c r="C95" s="9"/>
      <c r="D95" s="9"/>
      <c r="E95" s="9"/>
      <c r="F95" s="9"/>
      <c r="G95" s="9"/>
      <c r="H95" s="9"/>
      <c r="I95" s="9"/>
      <c r="J95" s="9"/>
      <c r="K95" s="9"/>
      <c r="L95" s="9"/>
      <c r="M95" s="9"/>
      <c r="N95" s="9"/>
      <c r="O95" s="9"/>
      <c r="P95" s="9"/>
      <c r="Q95" s="9"/>
      <c r="R95" s="9"/>
      <c r="S95" s="9"/>
      <c r="T95" s="9"/>
      <c r="U95" s="9"/>
      <c r="V95" s="9"/>
      <c r="W95" s="9"/>
      <c r="X95" s="9"/>
      <c r="Y95" s="9"/>
      <c r="Z95" s="9"/>
    </row>
    <row r="96" spans="1:26">
      <c r="A96" s="10" t="s">
        <v>122</v>
      </c>
      <c r="B96" s="9"/>
      <c r="C96" s="9"/>
      <c r="D96" s="9"/>
      <c r="E96" s="9"/>
      <c r="F96" s="9"/>
      <c r="G96" s="9"/>
      <c r="H96" s="9"/>
      <c r="I96" s="9"/>
      <c r="J96" s="9"/>
      <c r="K96" s="9"/>
      <c r="L96" s="9"/>
      <c r="M96" s="9"/>
      <c r="N96" s="9"/>
      <c r="O96" s="9"/>
      <c r="P96" s="9"/>
      <c r="Q96" s="9"/>
      <c r="R96" s="9"/>
      <c r="S96" s="9"/>
      <c r="T96" s="9"/>
      <c r="U96" s="9"/>
      <c r="V96" s="9"/>
      <c r="W96" s="9"/>
      <c r="X96" s="9"/>
      <c r="Y96" s="9"/>
      <c r="Z96" s="9"/>
    </row>
    <row r="97" spans="1:26">
      <c r="A97" s="9"/>
      <c r="B97" s="9"/>
      <c r="C97" s="9"/>
      <c r="D97" s="9"/>
      <c r="E97" s="9"/>
      <c r="F97" s="9"/>
      <c r="G97" s="9"/>
      <c r="H97" s="9"/>
      <c r="I97" s="9"/>
      <c r="J97" s="9"/>
      <c r="K97" s="9"/>
      <c r="L97" s="9"/>
      <c r="M97" s="9"/>
      <c r="N97" s="9"/>
      <c r="O97" s="9"/>
      <c r="P97" s="9"/>
      <c r="Q97" s="9"/>
      <c r="R97" s="9"/>
      <c r="S97" s="9"/>
      <c r="T97" s="9"/>
      <c r="U97" s="9"/>
      <c r="V97" s="9"/>
      <c r="W97" s="9"/>
      <c r="X97" s="9"/>
      <c r="Y97" s="9"/>
      <c r="Z97" s="9"/>
    </row>
    <row r="98" spans="1:26">
      <c r="A98" s="9"/>
      <c r="B98" s="11" t="s">
        <v>39</v>
      </c>
      <c r="C98" s="90">
        <f>'HEC-18 Bridge Scour'!C33</f>
        <v>8.9600000000000009</v>
      </c>
      <c r="D98" s="9" t="s">
        <v>10</v>
      </c>
      <c r="E98" s="9"/>
      <c r="F98" s="9"/>
      <c r="G98" s="9"/>
      <c r="H98" s="9"/>
      <c r="I98" s="9"/>
      <c r="J98" s="9"/>
      <c r="K98" s="9"/>
      <c r="L98" s="9"/>
      <c r="M98" s="9"/>
      <c r="N98" s="9"/>
      <c r="O98" s="9"/>
      <c r="P98" s="9"/>
      <c r="Q98" s="9"/>
      <c r="R98" s="9"/>
      <c r="S98" s="9"/>
      <c r="T98" s="9"/>
      <c r="U98" s="9"/>
      <c r="V98" s="9"/>
      <c r="W98" s="9"/>
      <c r="X98" s="9"/>
      <c r="Y98" s="9"/>
      <c r="Z98" s="9"/>
    </row>
    <row r="99" spans="1:26">
      <c r="A99" s="9"/>
      <c r="B99" s="11"/>
      <c r="C99" s="90"/>
      <c r="D99" s="9"/>
      <c r="E99" s="9"/>
      <c r="F99" s="9"/>
      <c r="G99" s="9"/>
      <c r="H99" s="9"/>
      <c r="I99" s="9"/>
      <c r="J99" s="9"/>
      <c r="K99" s="9"/>
      <c r="L99" s="9"/>
      <c r="M99" s="9"/>
      <c r="N99" s="9"/>
      <c r="O99" s="9"/>
      <c r="P99" s="9"/>
      <c r="Q99" s="9"/>
      <c r="R99" s="9"/>
      <c r="S99" s="9"/>
      <c r="T99" s="9"/>
      <c r="U99" s="9"/>
      <c r="V99" s="9"/>
      <c r="W99" s="9"/>
      <c r="X99" s="9"/>
      <c r="Y99" s="9"/>
      <c r="Z99" s="9"/>
    </row>
    <row r="100" spans="1:26">
      <c r="A100" s="9"/>
      <c r="B100" s="11" t="s">
        <v>65</v>
      </c>
      <c r="C100" s="29">
        <f>4*C73^(0.33)*C67/0.55*C68</f>
        <v>4.4626219657718158</v>
      </c>
      <c r="D100" s="9" t="s">
        <v>10</v>
      </c>
      <c r="E100" s="9"/>
      <c r="F100" s="9"/>
      <c r="G100" s="9"/>
      <c r="H100" s="9"/>
      <c r="I100" s="11"/>
      <c r="J100" s="9"/>
      <c r="K100" s="9"/>
      <c r="L100" s="9"/>
      <c r="M100" s="9"/>
      <c r="N100" s="9"/>
      <c r="O100" s="9"/>
      <c r="P100" s="9"/>
      <c r="Q100" s="9"/>
      <c r="R100" s="9"/>
      <c r="S100" s="9"/>
      <c r="T100" s="9"/>
      <c r="U100" s="9"/>
      <c r="V100" s="9"/>
      <c r="W100" s="9"/>
      <c r="X100" s="9"/>
      <c r="Y100" s="9"/>
      <c r="Z100" s="9"/>
    </row>
    <row r="101" spans="1:26">
      <c r="A101" s="9"/>
      <c r="B101" s="11"/>
      <c r="C101" s="90"/>
      <c r="D101" s="9"/>
      <c r="E101" s="9"/>
      <c r="F101" s="9"/>
      <c r="G101" s="9"/>
      <c r="H101" s="9"/>
      <c r="I101" s="11"/>
      <c r="J101" s="36"/>
      <c r="K101" s="9"/>
      <c r="L101" s="9"/>
      <c r="M101" s="9"/>
      <c r="N101" s="9"/>
      <c r="O101" s="9"/>
      <c r="P101" s="9"/>
      <c r="Q101" s="9"/>
      <c r="R101" s="9"/>
      <c r="S101" s="9"/>
      <c r="T101" s="9"/>
      <c r="U101" s="9"/>
      <c r="V101" s="9"/>
      <c r="W101" s="9"/>
      <c r="X101" s="9"/>
      <c r="Y101" s="9"/>
      <c r="Z101" s="9"/>
    </row>
    <row r="102" spans="1:26">
      <c r="A102" s="10" t="s">
        <v>151</v>
      </c>
      <c r="B102" s="9"/>
      <c r="C102" s="90"/>
      <c r="D102" s="9"/>
      <c r="E102" s="9"/>
      <c r="F102" s="9"/>
      <c r="G102" s="9"/>
      <c r="H102" s="9"/>
      <c r="I102" s="11"/>
      <c r="J102" s="9"/>
      <c r="K102" s="9"/>
      <c r="L102" s="9"/>
      <c r="M102" s="9"/>
      <c r="N102" s="9"/>
      <c r="O102" s="9"/>
      <c r="P102" s="9"/>
      <c r="Q102" s="9"/>
      <c r="R102" s="9"/>
      <c r="S102" s="9"/>
      <c r="T102" s="9"/>
      <c r="U102" s="9"/>
      <c r="V102" s="9"/>
      <c r="W102" s="9"/>
      <c r="X102" s="9"/>
      <c r="Y102" s="9"/>
      <c r="Z102" s="9"/>
    </row>
    <row r="103" spans="1:26">
      <c r="A103" s="9"/>
      <c r="B103" s="9"/>
      <c r="C103" s="90"/>
      <c r="D103" s="9"/>
      <c r="E103" s="9"/>
      <c r="F103" s="9"/>
      <c r="G103" s="9"/>
      <c r="H103" s="9"/>
      <c r="I103" s="9"/>
      <c r="J103" s="9"/>
      <c r="K103" s="9"/>
      <c r="L103" s="9"/>
      <c r="M103" s="9"/>
      <c r="N103" s="9"/>
      <c r="O103" s="9"/>
      <c r="P103" s="9"/>
      <c r="Q103" s="9"/>
      <c r="R103" s="9"/>
      <c r="S103" s="9"/>
      <c r="T103" s="9"/>
      <c r="U103" s="9"/>
      <c r="V103" s="9"/>
      <c r="W103" s="9"/>
      <c r="X103" s="9"/>
      <c r="Y103" s="9"/>
      <c r="Z103" s="9"/>
    </row>
    <row r="104" spans="1:26">
      <c r="A104" s="9"/>
      <c r="B104" s="11" t="s">
        <v>39</v>
      </c>
      <c r="C104" s="90">
        <f>'HEC-18 Bridge Scour'!C42</f>
        <v>5.58</v>
      </c>
      <c r="D104" s="9" t="s">
        <v>10</v>
      </c>
      <c r="E104" s="9"/>
      <c r="F104" s="9"/>
      <c r="G104" s="9"/>
      <c r="H104" s="9"/>
      <c r="I104" s="9"/>
      <c r="J104" s="9"/>
      <c r="K104" s="9"/>
      <c r="L104" s="9"/>
      <c r="M104" s="9"/>
      <c r="N104" s="9"/>
      <c r="O104" s="9"/>
      <c r="P104" s="9"/>
      <c r="Q104" s="9"/>
      <c r="R104" s="9"/>
      <c r="S104" s="9"/>
      <c r="T104" s="9"/>
      <c r="U104" s="9"/>
      <c r="V104" s="9"/>
      <c r="W104" s="9"/>
      <c r="X104" s="9"/>
      <c r="Y104" s="9"/>
      <c r="Z104" s="9"/>
    </row>
    <row r="105" spans="1:26">
      <c r="A105" s="9"/>
      <c r="B105" s="11"/>
      <c r="C105" s="90"/>
      <c r="D105" s="9"/>
      <c r="E105" s="9"/>
      <c r="F105" s="9"/>
      <c r="G105" s="9"/>
      <c r="H105" s="9"/>
      <c r="I105" s="9"/>
      <c r="J105" s="9"/>
      <c r="K105" s="9"/>
      <c r="L105" s="9"/>
      <c r="M105" s="9"/>
      <c r="N105" s="9"/>
      <c r="O105" s="9"/>
      <c r="P105" s="9"/>
      <c r="Q105" s="9"/>
      <c r="R105" s="9"/>
      <c r="S105" s="9"/>
      <c r="T105" s="9"/>
      <c r="U105" s="9"/>
      <c r="V105" s="9"/>
      <c r="W105" s="9"/>
      <c r="X105" s="9"/>
      <c r="Y105" s="9"/>
      <c r="Z105" s="9"/>
    </row>
    <row r="106" spans="1:26">
      <c r="A106" s="9"/>
      <c r="B106" s="11" t="s">
        <v>65</v>
      </c>
      <c r="C106" s="29">
        <f>4*C89^(0.33)*C83/0.55*C84</f>
        <v>3.2453627924666417</v>
      </c>
      <c r="D106" s="9" t="s">
        <v>10</v>
      </c>
      <c r="E106" s="9"/>
      <c r="F106" s="9"/>
      <c r="G106" s="9"/>
      <c r="H106" s="9"/>
      <c r="I106" s="9"/>
      <c r="J106" s="9"/>
      <c r="K106" s="9"/>
      <c r="L106" s="9"/>
      <c r="M106" s="9"/>
      <c r="N106" s="9"/>
      <c r="O106" s="9"/>
      <c r="P106" s="9"/>
      <c r="Q106" s="9"/>
      <c r="R106" s="9"/>
      <c r="S106" s="9"/>
      <c r="T106" s="9"/>
      <c r="U106" s="9"/>
      <c r="V106" s="9"/>
      <c r="W106" s="9"/>
      <c r="X106" s="9"/>
      <c r="Y106" s="9"/>
      <c r="Z106" s="9"/>
    </row>
    <row r="107" spans="1:26">
      <c r="A107" s="9"/>
      <c r="B107" s="11"/>
      <c r="C107" s="9"/>
      <c r="D107" s="9"/>
      <c r="E107" s="9"/>
      <c r="F107" s="9"/>
      <c r="G107" s="9"/>
      <c r="H107" s="9"/>
      <c r="I107" s="9"/>
      <c r="J107" s="9"/>
      <c r="K107" s="9"/>
      <c r="L107" s="9"/>
      <c r="M107" s="9"/>
      <c r="N107" s="9"/>
      <c r="O107" s="9"/>
      <c r="P107" s="9"/>
      <c r="Q107" s="9"/>
      <c r="R107" s="9"/>
      <c r="S107" s="9"/>
      <c r="T107" s="9"/>
      <c r="U107" s="9"/>
      <c r="V107" s="9"/>
      <c r="W107" s="9"/>
      <c r="X107" s="9"/>
      <c r="Y107" s="9"/>
      <c r="Z107" s="9"/>
    </row>
    <row r="108" spans="1:26">
      <c r="A108" s="9"/>
      <c r="B108" s="9"/>
      <c r="C108" s="11"/>
      <c r="D108" s="2"/>
      <c r="E108" s="9"/>
      <c r="F108" s="9"/>
      <c r="G108" s="9"/>
      <c r="H108" s="9"/>
      <c r="I108" s="9"/>
      <c r="J108" s="9"/>
      <c r="K108" s="9"/>
      <c r="L108" s="9"/>
      <c r="M108" s="9"/>
      <c r="N108" s="9"/>
      <c r="O108" s="9"/>
      <c r="P108" s="9"/>
      <c r="Q108" s="9"/>
      <c r="R108" s="9"/>
      <c r="S108" s="9"/>
      <c r="T108" s="9"/>
      <c r="U108" s="9"/>
      <c r="V108" s="9"/>
      <c r="W108" s="9"/>
      <c r="X108" s="9"/>
      <c r="Y108" s="9"/>
      <c r="Z108" s="9"/>
    </row>
    <row r="109" spans="1:26">
      <c r="A109" s="9"/>
      <c r="E109" s="9"/>
      <c r="F109" s="9"/>
      <c r="G109" s="9"/>
      <c r="H109" s="9"/>
      <c r="I109" s="9"/>
      <c r="J109" s="9"/>
      <c r="K109" s="9"/>
      <c r="L109" s="9"/>
      <c r="M109" s="9"/>
      <c r="N109" s="9"/>
      <c r="O109" s="9"/>
      <c r="P109" s="9"/>
      <c r="Q109" s="9"/>
      <c r="R109" s="9"/>
      <c r="S109" s="9"/>
      <c r="T109" s="9"/>
      <c r="U109" s="9"/>
      <c r="V109" s="9"/>
      <c r="W109" s="9"/>
      <c r="X109" s="9"/>
      <c r="Y109" s="9"/>
      <c r="Z109" s="9"/>
    </row>
    <row r="110" spans="1:26">
      <c r="A110" s="9"/>
      <c r="B110" s="9"/>
      <c r="C110" s="9"/>
      <c r="D110" s="9"/>
      <c r="E110" s="9"/>
      <c r="F110" s="9"/>
      <c r="G110" s="9"/>
      <c r="H110" s="9"/>
      <c r="I110" s="9"/>
      <c r="J110" s="9"/>
      <c r="K110" s="9"/>
      <c r="L110" s="9"/>
      <c r="M110" s="9"/>
      <c r="N110" s="9"/>
      <c r="O110" s="9"/>
      <c r="P110" s="9"/>
      <c r="Q110" s="9"/>
      <c r="R110" s="9"/>
      <c r="S110" s="9"/>
      <c r="T110" s="9"/>
      <c r="U110" s="9"/>
      <c r="V110" s="9"/>
      <c r="W110" s="9"/>
      <c r="X110" s="9"/>
      <c r="Y110" s="9"/>
      <c r="Z110" s="9"/>
    </row>
    <row r="111" spans="1:26">
      <c r="A111" s="9"/>
      <c r="B111" s="9"/>
      <c r="C111" s="9"/>
      <c r="D111" s="9"/>
      <c r="E111" s="9"/>
      <c r="F111" s="9"/>
      <c r="G111" s="9"/>
      <c r="H111" s="9"/>
      <c r="I111" s="9"/>
      <c r="J111" s="9"/>
      <c r="K111" s="9"/>
      <c r="L111" s="9"/>
      <c r="M111" s="9"/>
      <c r="N111" s="9"/>
      <c r="O111" s="9"/>
      <c r="P111" s="9"/>
      <c r="Q111" s="9"/>
      <c r="R111" s="9"/>
      <c r="S111" s="9"/>
      <c r="T111" s="9"/>
      <c r="U111" s="9"/>
      <c r="V111" s="9"/>
      <c r="W111" s="9"/>
      <c r="X111" s="9"/>
      <c r="Y111" s="9"/>
      <c r="Z111" s="9"/>
    </row>
    <row r="112" spans="1:26">
      <c r="A112" s="10"/>
      <c r="B112" s="9"/>
      <c r="C112" s="9"/>
      <c r="D112" s="9"/>
      <c r="E112" s="9"/>
      <c r="F112" s="9"/>
      <c r="G112" s="9"/>
      <c r="H112" s="9"/>
      <c r="I112" s="9"/>
      <c r="J112" s="9"/>
      <c r="K112" s="9"/>
      <c r="L112" s="9"/>
      <c r="M112" s="9"/>
      <c r="N112" s="9"/>
      <c r="O112" s="9"/>
      <c r="P112" s="9"/>
      <c r="Q112" s="9"/>
      <c r="R112" s="9"/>
      <c r="S112" s="9"/>
      <c r="T112" s="9"/>
      <c r="U112" s="9"/>
      <c r="V112" s="9"/>
      <c r="W112" s="9"/>
      <c r="X112" s="9"/>
      <c r="Y112" s="9"/>
      <c r="Z112" s="9"/>
    </row>
    <row r="113" spans="1:26">
      <c r="A113" s="9"/>
      <c r="B113" s="11"/>
      <c r="C113" s="12"/>
      <c r="D113" s="9"/>
      <c r="E113" s="9"/>
      <c r="F113" s="9"/>
      <c r="G113" s="9"/>
      <c r="H113" s="9"/>
      <c r="I113" s="9"/>
      <c r="J113" s="9"/>
      <c r="K113" s="9"/>
      <c r="L113" s="9"/>
      <c r="M113" s="9"/>
      <c r="N113" s="9"/>
      <c r="O113" s="9"/>
      <c r="P113" s="9"/>
      <c r="Q113" s="9"/>
      <c r="R113" s="9"/>
      <c r="S113" s="9"/>
      <c r="T113" s="9"/>
      <c r="U113" s="9"/>
      <c r="V113" s="9"/>
      <c r="W113" s="9"/>
      <c r="X113" s="9"/>
      <c r="Y113" s="9"/>
      <c r="Z113" s="9"/>
    </row>
    <row r="114" spans="1:26">
      <c r="B114" s="11"/>
      <c r="C114" s="12"/>
      <c r="D114" s="9"/>
      <c r="E114" s="9"/>
      <c r="F114" s="9"/>
      <c r="G114" s="9"/>
      <c r="H114" s="9"/>
      <c r="I114" s="9"/>
      <c r="J114" s="9"/>
      <c r="K114" s="9"/>
      <c r="L114" s="9"/>
      <c r="M114" s="9"/>
      <c r="N114" s="9"/>
      <c r="O114" s="9"/>
      <c r="P114" s="9"/>
      <c r="Q114" s="9"/>
      <c r="R114" s="9"/>
      <c r="S114" s="9"/>
      <c r="T114" s="9"/>
      <c r="U114" s="9"/>
      <c r="V114" s="9"/>
      <c r="W114" s="9"/>
      <c r="X114" s="9"/>
      <c r="Y114" s="9"/>
      <c r="Z114" s="9"/>
    </row>
    <row r="115" spans="1:26">
      <c r="A115" s="27"/>
      <c r="B115" s="27"/>
      <c r="C115" s="27"/>
      <c r="D115" s="27"/>
      <c r="E115" s="27"/>
      <c r="F115" s="27"/>
      <c r="G115" s="27"/>
      <c r="H115" s="27"/>
      <c r="I115" s="27"/>
      <c r="J115" s="27"/>
      <c r="K115" s="27"/>
      <c r="L115" s="27"/>
      <c r="M115" s="27"/>
      <c r="N115" s="27"/>
      <c r="O115" s="27"/>
      <c r="P115" s="27"/>
      <c r="Q115" s="27"/>
      <c r="R115" s="27"/>
      <c r="S115" s="27"/>
      <c r="T115" s="27"/>
      <c r="U115" s="27"/>
      <c r="V115" s="27"/>
      <c r="W115" s="27"/>
      <c r="X115" s="27"/>
      <c r="Y115" s="27"/>
      <c r="Z115" s="27"/>
    </row>
    <row r="116" spans="1:26">
      <c r="A116" s="192" t="s">
        <v>162</v>
      </c>
      <c r="B116" s="193"/>
      <c r="C116" s="193"/>
      <c r="D116" s="193"/>
      <c r="E116" s="193"/>
      <c r="F116" s="193"/>
      <c r="G116" s="193"/>
      <c r="H116" s="193"/>
      <c r="I116" s="193"/>
      <c r="J116" s="193"/>
      <c r="K116" s="193"/>
      <c r="L116" s="193"/>
      <c r="M116" s="193"/>
      <c r="N116" s="193"/>
      <c r="O116" s="193"/>
      <c r="P116" s="193"/>
      <c r="Q116" s="193"/>
      <c r="R116" s="193"/>
      <c r="S116" s="193"/>
      <c r="T116" s="193"/>
      <c r="U116" s="193"/>
      <c r="V116" s="193"/>
      <c r="W116" s="193"/>
      <c r="X116" s="193"/>
      <c r="Y116" s="193"/>
      <c r="Z116" s="194"/>
    </row>
    <row r="117" spans="1:26">
      <c r="A117" s="9"/>
      <c r="B117" s="9"/>
      <c r="C117" s="9"/>
      <c r="D117" s="9"/>
      <c r="E117" s="9"/>
      <c r="F117" s="9"/>
      <c r="G117" s="9"/>
      <c r="H117" s="9"/>
      <c r="I117" s="9"/>
      <c r="J117" s="9"/>
      <c r="K117" s="9"/>
      <c r="L117" s="9"/>
      <c r="M117" s="9"/>
      <c r="N117" s="9"/>
      <c r="O117" s="9"/>
      <c r="P117" s="9"/>
      <c r="Q117" s="9"/>
      <c r="R117" s="9"/>
      <c r="S117" s="9"/>
      <c r="T117" s="9"/>
      <c r="U117" s="9"/>
      <c r="V117" s="9"/>
      <c r="W117" s="9"/>
      <c r="X117" s="9"/>
      <c r="Y117" s="9"/>
      <c r="Z117" s="9"/>
    </row>
    <row r="118" spans="1:26">
      <c r="A118" s="10" t="s">
        <v>122</v>
      </c>
      <c r="B118" s="11"/>
      <c r="C118" s="12"/>
      <c r="D118" s="9"/>
      <c r="E118" s="9"/>
      <c r="F118" s="9"/>
      <c r="G118" s="9"/>
      <c r="H118" s="9"/>
      <c r="I118" s="9"/>
      <c r="J118" s="9"/>
      <c r="K118" s="9"/>
      <c r="L118" s="9"/>
      <c r="M118" s="9"/>
      <c r="N118" s="9"/>
      <c r="O118" s="9"/>
      <c r="P118" s="9"/>
      <c r="Q118" s="9"/>
      <c r="R118" s="9"/>
      <c r="S118" s="9"/>
      <c r="T118" s="9"/>
      <c r="U118" s="9"/>
      <c r="V118" s="9"/>
      <c r="W118" s="9"/>
      <c r="X118" s="9"/>
      <c r="Y118" s="9"/>
      <c r="Z118" s="9"/>
    </row>
    <row r="119" spans="1:26">
      <c r="A119" s="9"/>
      <c r="B119" s="9"/>
      <c r="C119" s="9"/>
      <c r="D119" s="9"/>
      <c r="E119" s="9"/>
      <c r="F119" s="9"/>
      <c r="G119" s="9"/>
      <c r="H119" s="9"/>
      <c r="I119" s="9"/>
      <c r="J119" s="9"/>
      <c r="K119" s="9"/>
      <c r="L119" s="9"/>
      <c r="M119" s="9"/>
      <c r="N119" s="9"/>
      <c r="O119" s="9"/>
      <c r="P119" s="9"/>
      <c r="Q119" s="9"/>
      <c r="R119" s="9"/>
      <c r="S119" s="9"/>
      <c r="T119" s="9"/>
      <c r="U119" s="9"/>
      <c r="V119" s="9"/>
      <c r="W119" s="9"/>
      <c r="X119" s="9"/>
      <c r="Y119" s="9"/>
      <c r="Z119" s="9"/>
    </row>
    <row r="120" spans="1:26">
      <c r="A120" s="9"/>
      <c r="B120" s="11" t="s">
        <v>163</v>
      </c>
      <c r="C120" s="29">
        <f>C65/C98</f>
        <v>27.566964285714285</v>
      </c>
      <c r="D120" s="9"/>
      <c r="E120" s="9"/>
      <c r="F120" s="9"/>
      <c r="G120" s="9"/>
      <c r="H120" s="9"/>
      <c r="I120" s="9"/>
      <c r="J120" s="9"/>
      <c r="K120" s="9"/>
      <c r="L120" s="9"/>
      <c r="M120" s="9"/>
      <c r="N120" s="9"/>
      <c r="O120" s="9"/>
      <c r="P120" s="9"/>
      <c r="Q120" s="9"/>
      <c r="R120" s="9"/>
      <c r="S120" s="9"/>
      <c r="T120" s="9"/>
      <c r="U120" s="9"/>
      <c r="V120" s="9"/>
      <c r="W120" s="9"/>
      <c r="X120" s="9"/>
      <c r="Y120" s="9"/>
      <c r="Z120" s="9"/>
    </row>
    <row r="121" spans="1:26">
      <c r="A121" s="9"/>
      <c r="B121" s="11" t="s">
        <v>0</v>
      </c>
      <c r="C121" s="90" t="str">
        <f>IF(C120&gt;25,"HIRE","Froelich's")</f>
        <v>HIRE</v>
      </c>
      <c r="D121" s="9" t="str">
        <f>IF(C121="HIRE","L/Y1 &gt;25", "L/Y1&lt;25")</f>
        <v>L/Y1 &gt;25</v>
      </c>
      <c r="E121" s="9"/>
      <c r="F121" s="9"/>
      <c r="G121" s="9"/>
      <c r="H121" s="9"/>
      <c r="I121" s="9"/>
      <c r="J121" s="9"/>
      <c r="K121" s="9"/>
      <c r="L121" s="9"/>
      <c r="M121" s="9"/>
      <c r="N121" s="9"/>
      <c r="O121" s="9"/>
      <c r="P121" s="9"/>
      <c r="Q121" s="9"/>
      <c r="R121" s="9"/>
      <c r="S121" s="9"/>
      <c r="T121" s="9"/>
      <c r="U121" s="9"/>
      <c r="V121" s="9"/>
      <c r="W121" s="9"/>
      <c r="X121" s="9"/>
      <c r="Y121" s="9"/>
      <c r="Z121" s="9"/>
    </row>
    <row r="122" spans="1:26">
      <c r="A122" s="9"/>
      <c r="B122" s="11"/>
      <c r="C122" s="90"/>
      <c r="D122" s="9"/>
      <c r="E122" s="9"/>
      <c r="F122" s="9"/>
      <c r="G122" s="9"/>
      <c r="H122" s="9"/>
      <c r="I122" s="9"/>
      <c r="J122" s="9"/>
      <c r="K122" s="9"/>
      <c r="L122" s="9"/>
      <c r="M122" s="9"/>
      <c r="N122" s="9"/>
      <c r="O122" s="9"/>
      <c r="P122" s="9"/>
      <c r="Q122" s="9"/>
      <c r="R122" s="9"/>
      <c r="S122" s="9"/>
      <c r="T122" s="9"/>
      <c r="U122" s="9"/>
      <c r="V122" s="9"/>
      <c r="W122" s="9"/>
      <c r="X122" s="9"/>
      <c r="Y122" s="9"/>
      <c r="Z122" s="9"/>
    </row>
    <row r="123" spans="1:26">
      <c r="A123" s="9"/>
      <c r="B123" s="11" t="s">
        <v>164</v>
      </c>
      <c r="C123" s="29">
        <f>IF(C121="HIRE",C100,C75)</f>
        <v>4.4626219657718158</v>
      </c>
      <c r="D123" s="9" t="s">
        <v>10</v>
      </c>
      <c r="E123" s="9"/>
      <c r="F123" s="9"/>
      <c r="G123" s="9"/>
      <c r="H123" s="9"/>
      <c r="I123" s="9"/>
      <c r="J123" s="9"/>
      <c r="K123" s="9"/>
      <c r="L123" s="9"/>
      <c r="M123" s="9"/>
      <c r="N123" s="9"/>
      <c r="O123" s="9"/>
      <c r="P123" s="9"/>
      <c r="Q123" s="9"/>
      <c r="R123" s="9"/>
      <c r="S123" s="9"/>
      <c r="T123" s="9"/>
      <c r="U123" s="9"/>
      <c r="V123" s="9"/>
      <c r="W123" s="9"/>
      <c r="X123" s="9"/>
      <c r="Y123" s="9"/>
      <c r="Z123" s="9"/>
    </row>
    <row r="124" spans="1:26">
      <c r="A124" s="9"/>
      <c r="B124" s="9"/>
      <c r="C124" s="90"/>
      <c r="D124" s="9"/>
      <c r="E124" s="9"/>
      <c r="F124" s="9"/>
      <c r="G124" s="9"/>
      <c r="H124" s="9"/>
      <c r="I124" s="9"/>
      <c r="J124" s="9"/>
      <c r="K124" s="9"/>
      <c r="L124" s="9"/>
      <c r="M124" s="9"/>
      <c r="N124" s="9"/>
      <c r="O124" s="9"/>
      <c r="P124" s="9"/>
      <c r="Q124" s="9"/>
      <c r="R124" s="9"/>
      <c r="S124" s="9"/>
      <c r="T124" s="9"/>
      <c r="U124" s="9"/>
      <c r="V124" s="9"/>
      <c r="W124" s="9"/>
      <c r="X124" s="9"/>
      <c r="Y124" s="9"/>
      <c r="Z124" s="9"/>
    </row>
    <row r="125" spans="1:26">
      <c r="A125" s="10" t="s">
        <v>151</v>
      </c>
      <c r="B125" s="11"/>
      <c r="C125" s="90"/>
      <c r="D125" s="9"/>
      <c r="E125" s="9"/>
      <c r="F125" s="9"/>
      <c r="G125" s="9"/>
      <c r="H125" s="9"/>
      <c r="I125" s="9"/>
      <c r="J125" s="9"/>
      <c r="K125" s="9"/>
      <c r="L125" s="9"/>
      <c r="M125" s="9"/>
      <c r="N125" s="9"/>
      <c r="O125" s="9"/>
      <c r="P125" s="9"/>
      <c r="Q125" s="9"/>
      <c r="R125" s="9"/>
      <c r="S125" s="9"/>
      <c r="T125" s="9"/>
      <c r="U125" s="9"/>
      <c r="V125" s="9"/>
      <c r="W125" s="9"/>
      <c r="X125" s="9"/>
      <c r="Y125" s="9"/>
      <c r="Z125" s="9"/>
    </row>
    <row r="126" spans="1:26">
      <c r="A126" s="9"/>
      <c r="B126" s="9"/>
      <c r="C126" s="90"/>
      <c r="D126" s="9"/>
      <c r="E126" s="9"/>
      <c r="F126" s="9"/>
      <c r="G126" s="9"/>
      <c r="H126" s="9"/>
      <c r="I126" s="9"/>
      <c r="J126" s="9"/>
      <c r="K126" s="9"/>
      <c r="L126" s="9"/>
      <c r="M126" s="9"/>
      <c r="N126" s="9"/>
      <c r="O126" s="9"/>
      <c r="P126" s="9"/>
      <c r="Q126" s="9"/>
      <c r="R126" s="9"/>
      <c r="S126" s="9"/>
      <c r="T126" s="9"/>
      <c r="U126" s="9"/>
      <c r="V126" s="9"/>
      <c r="W126" s="9"/>
      <c r="X126" s="9"/>
      <c r="Y126" s="9"/>
      <c r="Z126" s="9"/>
    </row>
    <row r="127" spans="1:26">
      <c r="A127" s="9"/>
      <c r="B127" s="11" t="s">
        <v>163</v>
      </c>
      <c r="C127" s="29">
        <f>C81/C104</f>
        <v>55.163082437275982</v>
      </c>
      <c r="D127" s="9"/>
      <c r="E127" s="9"/>
      <c r="F127" s="9"/>
      <c r="G127" s="9"/>
      <c r="H127" s="9"/>
      <c r="I127" s="9"/>
      <c r="J127" s="9"/>
      <c r="K127" s="9"/>
      <c r="L127" s="9"/>
      <c r="M127" s="9"/>
      <c r="N127" s="9"/>
      <c r="O127" s="9"/>
      <c r="P127" s="9"/>
      <c r="Q127" s="9"/>
      <c r="R127" s="9"/>
      <c r="S127" s="9"/>
      <c r="T127" s="9"/>
      <c r="U127" s="9"/>
      <c r="V127" s="9"/>
      <c r="W127" s="9"/>
      <c r="X127" s="9"/>
      <c r="Y127" s="9"/>
      <c r="Z127" s="9"/>
    </row>
    <row r="128" spans="1:26">
      <c r="A128" s="9"/>
      <c r="B128" s="11" t="s">
        <v>0</v>
      </c>
      <c r="C128" s="90" t="str">
        <f>IF(C127&gt;25,"HIRE","Froelich's")</f>
        <v>HIRE</v>
      </c>
      <c r="D128" s="9" t="str">
        <f>IF(C128="HIRE","L/Y1 &gt;25", "L/Y1&lt;25")</f>
        <v>L/Y1 &gt;25</v>
      </c>
      <c r="E128" s="9"/>
      <c r="F128" s="9"/>
      <c r="G128" s="9"/>
      <c r="H128" s="9"/>
      <c r="I128" s="9"/>
      <c r="J128" s="9"/>
      <c r="K128" s="9"/>
      <c r="L128" s="9"/>
      <c r="M128" s="9"/>
      <c r="N128" s="9"/>
      <c r="O128" s="9"/>
      <c r="P128" s="9"/>
      <c r="Q128" s="9"/>
      <c r="R128" s="9"/>
      <c r="S128" s="9"/>
      <c r="T128" s="9"/>
      <c r="U128" s="9"/>
      <c r="V128" s="9"/>
      <c r="W128" s="9"/>
      <c r="X128" s="9"/>
      <c r="Y128" s="9"/>
      <c r="Z128" s="9"/>
    </row>
    <row r="129" spans="1:26">
      <c r="A129" s="9"/>
      <c r="B129" s="11"/>
      <c r="C129" s="90"/>
      <c r="D129" s="9"/>
      <c r="E129" s="9"/>
      <c r="F129" s="9"/>
      <c r="G129" s="9"/>
      <c r="H129" s="9"/>
      <c r="I129" s="9"/>
      <c r="J129" s="9"/>
      <c r="K129" s="9"/>
      <c r="L129" s="9"/>
      <c r="M129" s="9"/>
      <c r="N129" s="9"/>
      <c r="O129" s="9"/>
      <c r="P129" s="9"/>
      <c r="Q129" s="9"/>
      <c r="R129" s="9"/>
      <c r="S129" s="9"/>
      <c r="T129" s="9"/>
      <c r="U129" s="9"/>
      <c r="V129" s="9"/>
      <c r="W129" s="9"/>
      <c r="X129" s="9"/>
      <c r="Y129" s="9"/>
      <c r="Z129" s="9"/>
    </row>
    <row r="130" spans="1:26">
      <c r="A130" s="9"/>
      <c r="B130" s="11" t="s">
        <v>164</v>
      </c>
      <c r="C130" s="29">
        <f>IF(C128="HIRE",C106,C91)</f>
        <v>3.2453627924666417</v>
      </c>
      <c r="D130" s="9" t="s">
        <v>10</v>
      </c>
      <c r="F130" s="9"/>
      <c r="G130" s="9"/>
      <c r="H130" s="9"/>
      <c r="I130" s="9"/>
      <c r="J130" s="9"/>
      <c r="K130" s="9"/>
      <c r="L130" s="9"/>
      <c r="M130" s="9"/>
      <c r="N130" s="9"/>
      <c r="O130" s="9"/>
      <c r="P130" s="9"/>
      <c r="Q130" s="9"/>
      <c r="R130" s="9"/>
      <c r="S130" s="9"/>
      <c r="T130" s="9"/>
      <c r="U130" s="9"/>
      <c r="V130" s="9"/>
      <c r="W130" s="9"/>
      <c r="X130" s="9"/>
      <c r="Y130" s="9"/>
      <c r="Z130" s="9"/>
    </row>
  </sheetData>
  <mergeCells count="3">
    <mergeCell ref="A59:Z59"/>
    <mergeCell ref="A116:Z116"/>
    <mergeCell ref="A94:Z94"/>
  </mergeCells>
  <pageMargins left="0.7" right="0.7" top="0.75" bottom="0.75" header="0.3" footer="0.3"/>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A2F3C9C-BE96-47CA-8EE9-48E72E31E12E}">
  <sheetPr>
    <tabColor theme="5" tint="0.39997558519241921"/>
  </sheetPr>
  <dimension ref="A1:M120"/>
  <sheetViews>
    <sheetView tabSelected="1" topLeftCell="A70" zoomScale="85" zoomScaleNormal="85" workbookViewId="0">
      <selection activeCell="F82" sqref="F82"/>
    </sheetView>
  </sheetViews>
  <sheetFormatPr defaultRowHeight="15"/>
  <cols>
    <col min="1" max="11" width="9.140625" style="1"/>
  </cols>
  <sheetData>
    <row r="1" spans="1:11">
      <c r="A1" s="10" t="s">
        <v>184</v>
      </c>
    </row>
    <row r="2" spans="1:11">
      <c r="A2" s="9" t="s">
        <v>36</v>
      </c>
    </row>
    <row r="3" spans="1:11" s="9" customFormat="1">
      <c r="B3" s="12"/>
      <c r="C3" s="12"/>
      <c r="D3" s="12"/>
      <c r="E3" s="12"/>
      <c r="F3" s="12"/>
      <c r="G3" s="12"/>
      <c r="H3" s="12"/>
      <c r="I3" s="12"/>
      <c r="J3" s="12"/>
      <c r="K3" s="12"/>
    </row>
    <row r="4" spans="1:11">
      <c r="A4" s="9"/>
    </row>
    <row r="29" spans="1:13">
      <c r="A29" s="27"/>
      <c r="B29" s="27"/>
      <c r="C29" s="27"/>
      <c r="D29" s="27"/>
      <c r="E29" s="27"/>
      <c r="F29" s="27"/>
      <c r="G29" s="27"/>
      <c r="H29" s="27"/>
      <c r="I29" s="27"/>
      <c r="J29" s="27"/>
      <c r="K29" s="27"/>
      <c r="L29" s="27"/>
      <c r="M29" s="27"/>
    </row>
    <row r="30" spans="1:13">
      <c r="A30" s="208" t="s">
        <v>185</v>
      </c>
      <c r="B30" s="208"/>
      <c r="C30" s="208"/>
      <c r="D30" s="208"/>
      <c r="E30" s="208"/>
      <c r="F30" s="208"/>
      <c r="G30" s="208"/>
      <c r="H30" s="208"/>
      <c r="I30" s="208"/>
      <c r="J30" s="208"/>
      <c r="K30" s="208"/>
      <c r="L30" s="208"/>
      <c r="M30" s="208"/>
    </row>
    <row r="31" spans="1:13" s="9" customFormat="1">
      <c r="A31" s="10"/>
      <c r="B31" s="12"/>
      <c r="C31" s="12"/>
      <c r="D31" s="12"/>
      <c r="E31" s="12"/>
      <c r="F31" s="12"/>
      <c r="G31" s="12"/>
      <c r="H31" s="12"/>
      <c r="I31" s="12"/>
      <c r="J31" s="12"/>
      <c r="K31" s="12"/>
    </row>
    <row r="32" spans="1:13" s="9" customFormat="1">
      <c r="A32" s="10"/>
      <c r="C32" s="11" t="s">
        <v>223</v>
      </c>
      <c r="D32" s="12" t="str">
        <f>IF('HEC-18 Bridge Scour'!C57="Yes","Yes","No")</f>
        <v>No</v>
      </c>
      <c r="E32" s="12"/>
      <c r="F32" s="12"/>
      <c r="G32" s="12"/>
      <c r="H32" s="12"/>
      <c r="I32" s="12"/>
      <c r="J32" s="12"/>
      <c r="K32" s="12"/>
    </row>
    <row r="33" spans="1:11" s="9" customFormat="1">
      <c r="A33" s="10"/>
      <c r="E33" s="12"/>
      <c r="F33" s="12"/>
      <c r="G33" s="12"/>
      <c r="H33" s="12"/>
      <c r="I33" s="12"/>
      <c r="J33" s="12"/>
      <c r="K33" s="12"/>
    </row>
    <row r="34" spans="1:11" s="9" customFormat="1">
      <c r="A34" s="10"/>
      <c r="B34" s="11" t="s">
        <v>195</v>
      </c>
      <c r="C34" s="12">
        <f>'HEC-18 Bridge Scour'!C59</f>
        <v>0</v>
      </c>
      <c r="D34" s="2" t="s">
        <v>10</v>
      </c>
      <c r="E34" s="12"/>
      <c r="F34" s="12"/>
      <c r="G34" s="12"/>
      <c r="H34" s="12"/>
      <c r="I34" s="12"/>
      <c r="J34" s="12"/>
      <c r="K34" s="12"/>
    </row>
    <row r="35" spans="1:11" s="9" customFormat="1">
      <c r="A35" s="10"/>
      <c r="B35" s="11" t="s">
        <v>196</v>
      </c>
      <c r="C35" s="12">
        <f>'HEC-18 Bridge Scour'!C58</f>
        <v>0</v>
      </c>
      <c r="D35" s="2" t="s">
        <v>10</v>
      </c>
      <c r="E35" s="12"/>
      <c r="F35" s="12"/>
      <c r="G35" s="12"/>
      <c r="H35" s="12"/>
      <c r="I35" s="12"/>
      <c r="J35" s="12"/>
      <c r="K35" s="12"/>
    </row>
    <row r="36" spans="1:11" s="9" customFormat="1">
      <c r="A36" s="10"/>
      <c r="B36" s="11" t="s">
        <v>197</v>
      </c>
      <c r="C36" s="12">
        <f>'HEC-18 Bridge Scour'!C43</f>
        <v>23</v>
      </c>
      <c r="D36" s="2" t="s">
        <v>10</v>
      </c>
      <c r="E36" s="12"/>
      <c r="F36" s="12"/>
      <c r="G36" s="12"/>
      <c r="H36" s="12"/>
      <c r="I36" s="12"/>
      <c r="J36" s="12"/>
      <c r="K36" s="12"/>
    </row>
    <row r="37" spans="1:11">
      <c r="B37" s="11" t="s">
        <v>198</v>
      </c>
      <c r="C37" s="29">
        <f>'HEC-18 Bridge Scour'!C49</f>
        <v>4</v>
      </c>
      <c r="D37" s="2" t="s">
        <v>10</v>
      </c>
    </row>
    <row r="38" spans="1:11">
      <c r="B38" s="1" t="s">
        <v>483</v>
      </c>
      <c r="C38" s="1" cm="1">
        <f t="array" ref="C38:D38">'HEC-18 Bridge Scour'!C60:D60</f>
        <v>0</v>
      </c>
      <c r="D38" s="1">
        <v>0</v>
      </c>
    </row>
    <row r="39" spans="1:11">
      <c r="B39" s="11" t="s">
        <v>128</v>
      </c>
      <c r="C39" s="12">
        <f>IF(C38=0,0,IF(C38="Rectangular",0.79,0.21))</f>
        <v>0</v>
      </c>
      <c r="D39" s="2" t="s">
        <v>10</v>
      </c>
    </row>
    <row r="40" spans="1:11">
      <c r="B40" s="11"/>
    </row>
    <row r="41" spans="1:11">
      <c r="B41" s="11" t="s">
        <v>202</v>
      </c>
      <c r="C41" s="1">
        <f>(C39*(C34*C35)+(C36-C39*C34)*C37)/C36</f>
        <v>4</v>
      </c>
      <c r="D41" s="1" t="s">
        <v>10</v>
      </c>
    </row>
    <row r="43" spans="1:11" s="9" customFormat="1"/>
    <row r="44" spans="1:11" s="9" customFormat="1"/>
    <row r="66" spans="1:13">
      <c r="A66" s="27"/>
      <c r="B66" s="27"/>
      <c r="C66" s="27"/>
      <c r="D66" s="27"/>
      <c r="E66" s="27"/>
      <c r="F66" s="27"/>
      <c r="G66" s="27"/>
      <c r="H66" s="27"/>
      <c r="I66" s="27"/>
      <c r="J66" s="27"/>
      <c r="K66" s="27"/>
      <c r="L66" s="27"/>
      <c r="M66" s="27"/>
    </row>
    <row r="67" spans="1:13">
      <c r="A67" s="192" t="s">
        <v>186</v>
      </c>
      <c r="B67" s="193"/>
      <c r="C67" s="193"/>
      <c r="D67" s="193"/>
      <c r="E67" s="193"/>
      <c r="F67" s="193"/>
      <c r="G67" s="193"/>
      <c r="H67" s="193"/>
      <c r="I67" s="193"/>
      <c r="J67" s="193"/>
      <c r="K67" s="193"/>
      <c r="L67" s="193"/>
      <c r="M67" s="194"/>
    </row>
    <row r="69" spans="1:13">
      <c r="D69" s="11" t="s">
        <v>213</v>
      </c>
      <c r="E69" s="1" t="str">
        <f>IF('HEC-18 Bridge Scour'!C50&gt;0,"Yes","No")</f>
        <v>Yes</v>
      </c>
    </row>
    <row r="70" spans="1:13">
      <c r="D70" s="11" t="s">
        <v>230</v>
      </c>
      <c r="E70" s="1" t="str">
        <f>IF('HEC-18 Bridge Scour'!C57 = "Yes", "Yes", "No")</f>
        <v>No</v>
      </c>
    </row>
    <row r="71" spans="1:13">
      <c r="D71" s="11" t="s">
        <v>226</v>
      </c>
      <c r="E71" s="1" t="str">
        <f>IF('HEC-18 Bridge Scour'!C61 = "Yes", "Yes", "No")</f>
        <v>No</v>
      </c>
    </row>
    <row r="73" spans="1:13">
      <c r="D73" s="11" t="str">
        <f>IF(E69="No","Calculate effective length of pier set.", "The following calculations not used.")</f>
        <v>The following calculations not used.</v>
      </c>
    </row>
    <row r="74" spans="1:13">
      <c r="D74" s="11" t="str">
        <f>IF(E71="No","Do not consider debris.", "Consider debris in calculations.")</f>
        <v>Do not consider debris.</v>
      </c>
    </row>
    <row r="76" spans="1:13">
      <c r="B76" s="11" t="s">
        <v>198</v>
      </c>
      <c r="C76" s="29">
        <f>'HEC-18 Bridge Scour'!C49</f>
        <v>4</v>
      </c>
      <c r="D76" s="1" t="s">
        <v>10</v>
      </c>
    </row>
    <row r="77" spans="1:13">
      <c r="B77" s="11" t="s">
        <v>211</v>
      </c>
      <c r="C77" s="29">
        <f>'HEC-18 Bridge Scour'!C51</f>
        <v>0</v>
      </c>
      <c r="D77" s="1" t="s">
        <v>10</v>
      </c>
    </row>
    <row r="78" spans="1:13">
      <c r="B78" s="11" t="s">
        <v>209</v>
      </c>
      <c r="C78" s="29">
        <f>'HEC-18 Bridge Scour'!C52</f>
        <v>0</v>
      </c>
      <c r="D78" s="1" t="s">
        <v>10</v>
      </c>
    </row>
    <row r="79" spans="1:13">
      <c r="B79" s="11" t="s">
        <v>229</v>
      </c>
      <c r="C79" s="1">
        <f>'HEC-18 Bridge Scour'!C53</f>
        <v>0</v>
      </c>
      <c r="D79" s="1" t="s">
        <v>143</v>
      </c>
    </row>
    <row r="81" spans="2:5">
      <c r="B81" s="11" t="s">
        <v>210</v>
      </c>
      <c r="C81" s="1">
        <f>C78/C76</f>
        <v>0</v>
      </c>
    </row>
    <row r="82" spans="2:5">
      <c r="C82" s="1" t="str">
        <f>IF(C81&lt;5,"L = a*Np", "L=a")</f>
        <v>L = a*Np</v>
      </c>
    </row>
    <row r="84" spans="2:5">
      <c r="B84" s="11" t="s">
        <v>123</v>
      </c>
      <c r="C84" s="29">
        <f>IF(E69="Yes",'HEC-18 Bridge Scour'!C50,IF(C81&lt;5,C76*C77, C76))</f>
        <v>10</v>
      </c>
      <c r="D84" s="1" t="s">
        <v>10</v>
      </c>
      <c r="E84" s="2" t="s">
        <v>225</v>
      </c>
    </row>
    <row r="85" spans="2:5">
      <c r="B85" s="11" t="s">
        <v>216</v>
      </c>
      <c r="C85" s="29">
        <f>C76*C77+(C77-1)*C78</f>
        <v>0</v>
      </c>
      <c r="D85" s="1" t="s">
        <v>10</v>
      </c>
      <c r="E85" s="2" t="s">
        <v>224</v>
      </c>
    </row>
    <row r="86" spans="2:5">
      <c r="C86" s="29"/>
    </row>
    <row r="87" spans="2:5">
      <c r="B87" s="11" t="s">
        <v>233</v>
      </c>
      <c r="C87" s="29">
        <f>C84/C76</f>
        <v>2.5</v>
      </c>
    </row>
    <row r="88" spans="2:5">
      <c r="B88" s="11" t="s">
        <v>232</v>
      </c>
      <c r="C88" s="29">
        <f>C85/C76</f>
        <v>0</v>
      </c>
    </row>
    <row r="89" spans="2:5">
      <c r="E89" s="1" t="s">
        <v>231</v>
      </c>
    </row>
    <row r="90" spans="2:5">
      <c r="B90" s="11" t="s">
        <v>129</v>
      </c>
      <c r="C90" s="29">
        <f>IF(C79=0,1,(COS(RADIANS(C79))+C84/C76*SIN(RADIANS(C79)))^0.65)</f>
        <v>1</v>
      </c>
      <c r="D90" s="1" t="s">
        <v>234</v>
      </c>
      <c r="E90" s="1">
        <f>C87</f>
        <v>2.5</v>
      </c>
    </row>
    <row r="91" spans="2:5">
      <c r="B91" s="11" t="s">
        <v>228</v>
      </c>
      <c r="C91" s="29">
        <f>IF(E91="#N/A",C90,IF(C79=0,1,(COS(RADIANS(C79))+E91*SIN(RADIANS(C79)))^0.65))</f>
        <v>1</v>
      </c>
      <c r="D91" s="1" t="s">
        <v>234</v>
      </c>
      <c r="E91" s="134" t="str">
        <f>IF(E71="No","#N/A",IF(C88&gt;12,12,C88))</f>
        <v>#N/A</v>
      </c>
    </row>
    <row r="99" spans="1:13">
      <c r="A99" s="27"/>
      <c r="B99" s="27"/>
      <c r="C99" s="27"/>
      <c r="D99" s="27"/>
      <c r="E99" s="27"/>
      <c r="F99" s="27"/>
      <c r="G99" s="27"/>
      <c r="H99" s="27"/>
      <c r="I99" s="27"/>
      <c r="J99" s="27"/>
      <c r="K99" s="27"/>
      <c r="L99" s="27"/>
      <c r="M99" s="27"/>
    </row>
    <row r="100" spans="1:13">
      <c r="A100" s="192" t="s">
        <v>246</v>
      </c>
      <c r="B100" s="193"/>
      <c r="C100" s="193"/>
      <c r="D100" s="193"/>
      <c r="E100" s="193"/>
      <c r="F100" s="193"/>
      <c r="G100" s="193"/>
      <c r="H100" s="193"/>
      <c r="I100" s="193"/>
      <c r="J100" s="193"/>
      <c r="K100" s="193"/>
      <c r="L100" s="193"/>
      <c r="M100" s="194"/>
    </row>
    <row r="102" spans="1:13">
      <c r="B102" s="1" t="s">
        <v>237</v>
      </c>
      <c r="C102" s="1">
        <f>'HEC-18 Bridge Scour'!C43</f>
        <v>23</v>
      </c>
      <c r="D102" s="1" t="s">
        <v>10</v>
      </c>
    </row>
    <row r="103" spans="1:13">
      <c r="B103" s="1" t="s">
        <v>236</v>
      </c>
      <c r="C103" s="1">
        <f>'HEC-18 Bridge Scour'!C45</f>
        <v>5</v>
      </c>
      <c r="D103" s="1" t="s">
        <v>43</v>
      </c>
    </row>
    <row r="104" spans="1:13">
      <c r="B104" s="12" t="s">
        <v>238</v>
      </c>
      <c r="C104" s="1">
        <f>'HEC-18 Bridge Scour'!C44</f>
        <v>23</v>
      </c>
    </row>
    <row r="105" spans="1:13">
      <c r="B105" s="12" t="s">
        <v>239</v>
      </c>
      <c r="C105" s="1">
        <f>'HEC-18 Bridge Scour'!C46</f>
        <v>5</v>
      </c>
    </row>
    <row r="106" spans="1:13">
      <c r="B106" s="1" t="s">
        <v>208</v>
      </c>
      <c r="C106" s="29">
        <f>'HEC-18 Bridge Scour'!C49</f>
        <v>4</v>
      </c>
      <c r="D106" s="1" t="s">
        <v>10</v>
      </c>
    </row>
    <row r="107" spans="1:13">
      <c r="B107" s="1" t="s">
        <v>235</v>
      </c>
      <c r="C107" s="1">
        <f>C41</f>
        <v>4</v>
      </c>
      <c r="D107" s="1" t="s">
        <v>10</v>
      </c>
    </row>
    <row r="108" spans="1:13">
      <c r="B108" s="1" t="s">
        <v>16</v>
      </c>
      <c r="C108" s="1">
        <f>'HEC-18 Bridge Scour'!C48</f>
        <v>1.1000000000000001</v>
      </c>
    </row>
    <row r="109" spans="1:13">
      <c r="B109" s="1" t="s">
        <v>20</v>
      </c>
      <c r="C109" s="1">
        <f>C90</f>
        <v>1</v>
      </c>
    </row>
    <row r="110" spans="1:13">
      <c r="B110" s="1" t="s">
        <v>227</v>
      </c>
      <c r="C110" s="1">
        <f>C91</f>
        <v>1</v>
      </c>
    </row>
    <row r="111" spans="1:13">
      <c r="B111" s="1" t="s">
        <v>24</v>
      </c>
      <c r="C111" s="1">
        <f>'HEC-18 Bridge Scour'!C56</f>
        <v>1.2</v>
      </c>
    </row>
    <row r="113" spans="2:4">
      <c r="B113" s="1" t="s">
        <v>243</v>
      </c>
      <c r="C113" s="1">
        <f>C103/(32.2*C102)^(1/2)</f>
        <v>0.18372918581054709</v>
      </c>
    </row>
    <row r="114" spans="2:4">
      <c r="B114" s="1" t="s">
        <v>242</v>
      </c>
      <c r="C114" s="12">
        <f>C105/(32.2*C104)^(1/2)</f>
        <v>0.18372918581054709</v>
      </c>
    </row>
    <row r="116" spans="2:4">
      <c r="B116" s="1" t="s">
        <v>240</v>
      </c>
      <c r="C116" s="1">
        <f>C102*2*C108*C109*C111*(C106/C102)^(0.65)*C113^(0.43)</f>
        <v>9.4003552967187805</v>
      </c>
      <c r="D116" s="1" t="s">
        <v>458</v>
      </c>
    </row>
    <row r="117" spans="2:4">
      <c r="B117" s="12" t="s">
        <v>241</v>
      </c>
      <c r="C117" s="1">
        <f>C104*2*C108*C109*C111*(C106/C104)^(0.65)*C114^(0.43)</f>
        <v>9.4003552967187805</v>
      </c>
      <c r="D117" s="90" t="s">
        <v>458</v>
      </c>
    </row>
    <row r="119" spans="2:4">
      <c r="B119" s="12" t="s">
        <v>244</v>
      </c>
      <c r="C119" s="12">
        <f>C102*2*C108*C110*C111*(C107/C102)^(0.65)*C113^(0.43)</f>
        <v>9.4003552967187805</v>
      </c>
      <c r="D119" s="89" t="s">
        <v>459</v>
      </c>
    </row>
    <row r="120" spans="2:4">
      <c r="B120" s="12" t="s">
        <v>245</v>
      </c>
      <c r="C120" s="12">
        <f>C104*2*C108*C110*C111*(C107/C104)^(0.65)*C114^(0.43)</f>
        <v>9.4003552967187805</v>
      </c>
      <c r="D120" s="89" t="s">
        <v>459</v>
      </c>
    </row>
  </sheetData>
  <mergeCells count="3">
    <mergeCell ref="A30:M30"/>
    <mergeCell ref="A67:M67"/>
    <mergeCell ref="A100:M100"/>
  </mergeCells>
  <pageMargins left="0.7" right="0.7" top="0.75" bottom="0.75" header="0.3" footer="0.3"/>
  <drawing r:id="rId1"/>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7AC42D7-4DE2-41C2-AFF7-A92FF023F288}">
  <sheetPr>
    <tabColor theme="9"/>
  </sheetPr>
  <dimension ref="B1:DA61"/>
  <sheetViews>
    <sheetView showGridLines="0" topLeftCell="A19" zoomScale="130" zoomScaleNormal="130" workbookViewId="0">
      <selection activeCell="C27" sqref="C27:D27"/>
    </sheetView>
  </sheetViews>
  <sheetFormatPr defaultRowHeight="15"/>
  <cols>
    <col min="1" max="1" width="3.7109375" style="9" customWidth="1"/>
    <col min="2" max="2" width="34.85546875" style="62" customWidth="1"/>
    <col min="3" max="3" width="13" style="62" customWidth="1"/>
    <col min="4" max="7" width="9.140625" style="62"/>
    <col min="8" max="8" width="9.140625" style="9"/>
    <col min="9" max="9" width="27.85546875" style="9" customWidth="1"/>
    <col min="10" max="10" width="3.5703125" style="9" customWidth="1"/>
    <col min="11" max="11" width="4.140625" style="9" customWidth="1"/>
    <col min="12" max="16" width="9.140625" style="9"/>
    <col min="17" max="17" width="9.28515625" style="9" customWidth="1"/>
    <col min="18" max="18" width="9.140625" style="9"/>
    <col min="19" max="22" width="9.140625" style="26"/>
    <col min="23" max="36" width="9.140625" style="100"/>
    <col min="37" max="105" width="9.140625" style="26"/>
    <col min="106" max="16384" width="9.140625" style="9"/>
  </cols>
  <sheetData>
    <row r="1" spans="2:28" ht="21">
      <c r="B1" s="99" t="s">
        <v>331</v>
      </c>
    </row>
    <row r="2" spans="2:28">
      <c r="B2" s="48" t="s">
        <v>291</v>
      </c>
    </row>
    <row r="3" spans="2:28">
      <c r="B3" s="48" t="s">
        <v>469</v>
      </c>
      <c r="S3" s="119"/>
    </row>
    <row r="5" spans="2:28">
      <c r="B5" s="10" t="s">
        <v>330</v>
      </c>
      <c r="C5" s="9"/>
      <c r="D5" s="9"/>
      <c r="E5" s="9"/>
      <c r="F5" s="9"/>
      <c r="G5" s="9"/>
    </row>
    <row r="6" spans="2:28">
      <c r="B6" s="14" t="s">
        <v>7</v>
      </c>
      <c r="C6" s="219" t="s">
        <v>626</v>
      </c>
      <c r="D6" s="219"/>
      <c r="E6" s="219"/>
      <c r="F6" s="219"/>
      <c r="G6" s="219"/>
      <c r="H6" s="219"/>
      <c r="I6" s="219"/>
    </row>
    <row r="7" spans="2:28" ht="15.75" thickBot="1">
      <c r="B7" s="41" t="s">
        <v>8</v>
      </c>
      <c r="C7" s="220" t="s">
        <v>627</v>
      </c>
      <c r="D7" s="220"/>
      <c r="E7" s="220"/>
      <c r="F7" s="220"/>
      <c r="G7" s="220"/>
      <c r="H7" s="220"/>
      <c r="I7" s="220"/>
    </row>
    <row r="8" spans="2:28">
      <c r="B8" s="213" t="s">
        <v>122</v>
      </c>
      <c r="C8" s="214"/>
      <c r="D8" s="214"/>
      <c r="E8" s="214"/>
      <c r="F8" s="214"/>
      <c r="G8" s="214"/>
      <c r="H8" s="214"/>
      <c r="I8" s="215"/>
      <c r="L8" s="216" t="s">
        <v>324</v>
      </c>
      <c r="M8" s="217"/>
      <c r="N8" s="217"/>
      <c r="O8" s="217"/>
      <c r="P8" s="217"/>
      <c r="Q8" s="218"/>
      <c r="Z8" s="100" t="s">
        <v>300</v>
      </c>
      <c r="AA8" s="100" t="s">
        <v>10</v>
      </c>
      <c r="AB8" s="100" t="s">
        <v>314</v>
      </c>
    </row>
    <row r="9" spans="2:28">
      <c r="B9" s="14" t="s">
        <v>286</v>
      </c>
      <c r="C9" s="183" t="s">
        <v>150</v>
      </c>
      <c r="D9" s="184"/>
      <c r="E9" s="56"/>
      <c r="F9" s="57"/>
      <c r="G9" s="57"/>
      <c r="H9" s="57"/>
      <c r="I9" s="58"/>
      <c r="L9" s="3"/>
      <c r="M9" s="3"/>
      <c r="N9" s="3"/>
      <c r="O9" s="3"/>
      <c r="P9" s="3"/>
      <c r="Q9" s="3"/>
      <c r="W9" s="100" t="s">
        <v>287</v>
      </c>
      <c r="Z9" s="100" t="s">
        <v>301</v>
      </c>
      <c r="AA9" s="100" t="s">
        <v>9</v>
      </c>
      <c r="AB9" s="100" t="s">
        <v>304</v>
      </c>
    </row>
    <row r="10" spans="2:28">
      <c r="B10" s="14" t="s">
        <v>292</v>
      </c>
      <c r="C10" s="108">
        <v>247</v>
      </c>
      <c r="D10" s="17" t="s">
        <v>10</v>
      </c>
      <c r="E10" s="175" t="s">
        <v>295</v>
      </c>
      <c r="F10" s="176"/>
      <c r="G10" s="176"/>
      <c r="H10" s="176"/>
      <c r="I10" s="177"/>
      <c r="L10" s="3"/>
      <c r="M10" s="3"/>
      <c r="N10" s="3"/>
      <c r="O10" s="3"/>
      <c r="P10" s="3"/>
      <c r="Q10" s="3"/>
      <c r="W10" s="100" t="s">
        <v>150</v>
      </c>
      <c r="Z10" s="100" t="s">
        <v>309</v>
      </c>
      <c r="AA10" s="100" t="s">
        <v>10</v>
      </c>
      <c r="AB10" s="100" t="s">
        <v>310</v>
      </c>
    </row>
    <row r="11" spans="2:28">
      <c r="B11" s="14" t="s">
        <v>168</v>
      </c>
      <c r="C11" s="108">
        <v>300</v>
      </c>
      <c r="D11" s="15" t="s">
        <v>10</v>
      </c>
      <c r="E11" s="175" t="s">
        <v>294</v>
      </c>
      <c r="F11" s="176"/>
      <c r="G11" s="176"/>
      <c r="H11" s="176"/>
      <c r="I11" s="177"/>
      <c r="L11" s="3"/>
      <c r="M11" s="3"/>
      <c r="N11" s="3"/>
      <c r="O11" s="3"/>
      <c r="P11" s="3"/>
      <c r="Q11" s="3"/>
      <c r="Z11" s="100" t="s">
        <v>302</v>
      </c>
      <c r="AA11" s="100" t="s">
        <v>9</v>
      </c>
      <c r="AB11" s="100" t="s">
        <v>303</v>
      </c>
    </row>
    <row r="12" spans="2:28">
      <c r="B12" s="14" t="s">
        <v>297</v>
      </c>
      <c r="C12" s="108"/>
      <c r="D12" s="15" t="s">
        <v>5</v>
      </c>
      <c r="E12" s="175" t="s">
        <v>305</v>
      </c>
      <c r="F12" s="176"/>
      <c r="G12" s="176"/>
      <c r="H12" s="176"/>
      <c r="I12" s="177"/>
      <c r="L12" s="3"/>
      <c r="M12" s="3"/>
      <c r="N12" s="3"/>
      <c r="O12" s="3"/>
      <c r="P12" s="3"/>
      <c r="Q12" s="3"/>
    </row>
    <row r="13" spans="2:28">
      <c r="B13" s="14" t="s">
        <v>293</v>
      </c>
      <c r="C13" s="73">
        <f>IF(ISERROR('Abutment NCHRP '!C57),"",'Abutment NCHRP '!C57)</f>
        <v>0.82333333333333336</v>
      </c>
      <c r="D13" s="15" t="s">
        <v>5</v>
      </c>
      <c r="E13" s="175" t="s">
        <v>298</v>
      </c>
      <c r="F13" s="176"/>
      <c r="G13" s="176"/>
      <c r="H13" s="176"/>
      <c r="I13" s="177"/>
      <c r="L13" s="3"/>
      <c r="M13" s="3"/>
      <c r="N13" s="3"/>
      <c r="O13" s="3"/>
      <c r="P13" s="3"/>
      <c r="Q13" s="3"/>
    </row>
    <row r="14" spans="2:28">
      <c r="B14" s="14" t="s">
        <v>296</v>
      </c>
      <c r="C14" s="73">
        <f>IF(ISERROR('Abutment NCHRP '!C58),"",'Abutment NCHRP '!C58)</f>
        <v>8.5</v>
      </c>
      <c r="D14" s="15" t="s">
        <v>5</v>
      </c>
      <c r="E14" s="175" t="s">
        <v>299</v>
      </c>
      <c r="F14" s="176"/>
      <c r="G14" s="176"/>
      <c r="H14" s="176"/>
      <c r="I14" s="177"/>
      <c r="L14" s="3"/>
      <c r="M14" s="3"/>
      <c r="N14" s="3"/>
      <c r="O14" s="3"/>
      <c r="P14" s="3"/>
      <c r="Q14" s="3"/>
      <c r="Z14" s="100" t="s">
        <v>272</v>
      </c>
      <c r="AA14" s="100" t="s">
        <v>12</v>
      </c>
      <c r="AB14" s="100" t="s">
        <v>13</v>
      </c>
    </row>
    <row r="15" spans="2:28">
      <c r="B15" s="14" t="str">
        <f>IF(C14="","Equation-dependent variable", IF(C14=8.5,Z8,Z15))</f>
        <v>Upstream Flow Depth</v>
      </c>
      <c r="C15" s="109">
        <v>18.66</v>
      </c>
      <c r="D15" s="15" t="str">
        <f>IF(C14="","", "ft")</f>
        <v>ft</v>
      </c>
      <c r="E15" s="59" t="str">
        <f>IF(C14="","", IF(C14=8.5,AB8,AB15))</f>
        <v>Mean channel flow depth upstream of abutment (Y1)</v>
      </c>
      <c r="F15" s="60"/>
      <c r="G15" s="60"/>
      <c r="H15" s="60"/>
      <c r="I15" s="61"/>
      <c r="L15" s="3"/>
      <c r="M15" s="3"/>
      <c r="N15" s="3"/>
      <c r="O15" s="3"/>
      <c r="P15" s="3"/>
      <c r="Q15" s="3"/>
      <c r="Z15" s="100" t="s">
        <v>300</v>
      </c>
      <c r="AA15" s="100" t="s">
        <v>10</v>
      </c>
      <c r="AB15" s="100" t="s">
        <v>315</v>
      </c>
    </row>
    <row r="16" spans="2:28">
      <c r="B16" s="14" t="str">
        <f>IF(C14="","Equation-dependent variable", IF(C14=8.5,Z9,Z16))</f>
        <v>Upstream Unit Discharge</v>
      </c>
      <c r="C16" s="153">
        <v>7140</v>
      </c>
      <c r="D16" s="15" t="str">
        <f>IF(C14="","", "cfs")</f>
        <v>cfs</v>
      </c>
      <c r="E16" s="59" t="str">
        <f>IF(C14="","", IF(C14=8.5,AB9,AB16))</f>
        <v>Unit discharge in the channel upstream of bridge (q1)</v>
      </c>
      <c r="F16" s="60"/>
      <c r="G16" s="60"/>
      <c r="H16" s="60"/>
      <c r="I16" s="61"/>
      <c r="L16" s="3"/>
      <c r="M16" s="3"/>
      <c r="N16" s="3"/>
      <c r="O16" s="3"/>
      <c r="P16" s="3"/>
      <c r="Q16" s="3"/>
      <c r="Z16" s="100" t="s">
        <v>301</v>
      </c>
      <c r="AA16" s="100" t="s">
        <v>9</v>
      </c>
      <c r="AB16" s="100" t="s">
        <v>306</v>
      </c>
    </row>
    <row r="17" spans="2:28">
      <c r="B17" s="14" t="str">
        <f>IF(C14="","Equation-dependent variable", IF(C14=8.5,Z10,Z17))</f>
        <v>Bridge Channel Flow Depth</v>
      </c>
      <c r="C17" s="109">
        <v>19.72</v>
      </c>
      <c r="D17" s="15" t="str">
        <f>IF(C14="","", "ft")</f>
        <v>ft</v>
      </c>
      <c r="E17" s="59" t="str">
        <f>IF(C14="","", IF(C14=8.5,AB10,AB17))</f>
        <v>Mean flow depth through the bridge (Y0)</v>
      </c>
      <c r="F17" s="60"/>
      <c r="G17" s="60"/>
      <c r="H17" s="60"/>
      <c r="I17" s="61"/>
      <c r="L17" s="3"/>
      <c r="M17" s="3"/>
      <c r="N17" s="3"/>
      <c r="O17" s="3"/>
      <c r="P17" s="3"/>
      <c r="Q17" s="3"/>
      <c r="Z17" s="100" t="s">
        <v>308</v>
      </c>
      <c r="AA17" s="100" t="s">
        <v>10</v>
      </c>
      <c r="AB17" s="100" t="s">
        <v>316</v>
      </c>
    </row>
    <row r="18" spans="2:28">
      <c r="B18" s="14" t="str">
        <f>IF(C14="","Equation-dependent variable", IF(C14=8.5,Z11,Z18))</f>
        <v>Bridge Unit Discharge</v>
      </c>
      <c r="C18" s="153">
        <v>9153</v>
      </c>
      <c r="D18" s="15" t="str">
        <f>IF(C14="","", "cfs")</f>
        <v>cfs</v>
      </c>
      <c r="E18" s="59" t="str">
        <f>IF(C14="","", IF(C14=8.5,AB11,AB18))</f>
        <v>Unit discharge through the bridge (q2c)</v>
      </c>
      <c r="F18" s="60"/>
      <c r="G18" s="60"/>
      <c r="H18" s="60"/>
      <c r="I18" s="61"/>
      <c r="L18" s="3"/>
      <c r="M18" s="3"/>
      <c r="N18" s="3"/>
      <c r="O18" s="3"/>
      <c r="P18" s="3"/>
      <c r="Q18" s="3"/>
      <c r="Z18" s="100" t="s">
        <v>307</v>
      </c>
      <c r="AA18" s="100" t="s">
        <v>9</v>
      </c>
      <c r="AB18" s="100" t="s">
        <v>311</v>
      </c>
    </row>
    <row r="19" spans="2:28">
      <c r="B19" s="14" t="str">
        <f>IF(C14="","Equation-dependent variable", IF(C14=8.5,"",IF(C14=8.6,Z14,Z20)))</f>
        <v/>
      </c>
      <c r="C19" s="109">
        <v>1.5</v>
      </c>
      <c r="D19" s="15" t="str">
        <f>IF(OR(C14="",C14=8.5),"", IF(C14=8.6, AA14,AA20))</f>
        <v/>
      </c>
      <c r="E19" s="175" t="str">
        <f>IF(OR(C14="",C14=8.5),"", IF(C14=8.6,AB14,AB20))</f>
        <v/>
      </c>
      <c r="F19" s="176"/>
      <c r="G19" s="176"/>
      <c r="H19" s="176"/>
      <c r="I19" s="177"/>
      <c r="L19" s="3"/>
      <c r="M19" s="3"/>
      <c r="N19" s="3"/>
      <c r="O19" s="3"/>
      <c r="P19" s="3"/>
      <c r="Q19" s="3"/>
    </row>
    <row r="20" spans="2:28">
      <c r="B20" s="14"/>
      <c r="C20" s="109"/>
      <c r="D20" s="15"/>
      <c r="E20" s="175"/>
      <c r="F20" s="176"/>
      <c r="G20" s="176"/>
      <c r="H20" s="176"/>
      <c r="I20" s="177"/>
      <c r="L20" s="3"/>
      <c r="M20" s="3"/>
      <c r="N20" s="3"/>
      <c r="O20" s="3"/>
      <c r="P20" s="3"/>
      <c r="Q20" s="3"/>
      <c r="Z20" s="100" t="s">
        <v>313</v>
      </c>
      <c r="AA20" s="100" t="s">
        <v>5</v>
      </c>
      <c r="AB20" s="100" t="s">
        <v>323</v>
      </c>
    </row>
    <row r="21" spans="2:28">
      <c r="B21" s="14" t="str">
        <f>IF(C14="","Equation-dependent variable", IF('Abutment NCHRP '!C141=8.11,"q2f/qf","q2/q1"))</f>
        <v>q2/q1</v>
      </c>
      <c r="C21" s="75">
        <f>IF(AND(C16="",C18=""),"",C18/C16)</f>
        <v>1.2819327731092438</v>
      </c>
      <c r="D21" s="15"/>
      <c r="E21" s="175"/>
      <c r="F21" s="176"/>
      <c r="G21" s="176"/>
      <c r="H21" s="176"/>
      <c r="I21" s="177"/>
      <c r="L21" s="3"/>
      <c r="M21" s="3"/>
      <c r="N21" s="3"/>
      <c r="O21" s="3"/>
      <c r="P21" s="3"/>
      <c r="Q21" s="3"/>
      <c r="Z21" s="101" t="s">
        <v>312</v>
      </c>
      <c r="AA21" s="100" t="s">
        <v>172</v>
      </c>
      <c r="AB21" s="100" t="s">
        <v>472</v>
      </c>
    </row>
    <row r="22" spans="2:28">
      <c r="B22" s="14" t="s">
        <v>317</v>
      </c>
      <c r="C22" s="109"/>
      <c r="D22" s="15"/>
      <c r="E22" s="175" t="str">
        <f>"Live-bed or clear water amplification factor (αA, αB), ref. Figure "&amp;TEXT(Z26,"0.00")</f>
        <v>Live-bed or clear water amplification factor (αA, αB), ref. Figure 8.10</v>
      </c>
      <c r="F22" s="176"/>
      <c r="G22" s="176"/>
      <c r="H22" s="176"/>
      <c r="I22" s="177"/>
      <c r="L22" s="3"/>
      <c r="M22" s="3"/>
      <c r="N22" s="3"/>
      <c r="O22" s="3"/>
      <c r="P22" s="3"/>
      <c r="Q22" s="3"/>
    </row>
    <row r="23" spans="2:28">
      <c r="B23" s="14" t="str">
        <f>IF(C14="","Equation-dependent variable", Z23)</f>
        <v>Contraction Scour Flow Depth</v>
      </c>
      <c r="C23" s="75">
        <f>IF(ISERROR('Abutment NCHRP '!C144),"",'Abutment NCHRP '!C144)</f>
        <v>23.087003484125297</v>
      </c>
      <c r="D23" s="15" t="str">
        <f>IF(C14="","", "ft")</f>
        <v>ft</v>
      </c>
      <c r="E23" s="175" t="str">
        <f>IF(C14="","",AB23)</f>
        <v>Flow depth including contraction scour (Yc)</v>
      </c>
      <c r="F23" s="176"/>
      <c r="G23" s="176"/>
      <c r="H23" s="176"/>
      <c r="I23" s="177"/>
      <c r="L23" s="3"/>
      <c r="M23" s="3"/>
      <c r="N23" s="3"/>
      <c r="O23" s="3"/>
      <c r="P23" s="3"/>
      <c r="Q23" s="3"/>
      <c r="Z23" s="100" t="s">
        <v>318</v>
      </c>
      <c r="AB23" s="100" t="s">
        <v>320</v>
      </c>
    </row>
    <row r="24" spans="2:28">
      <c r="B24" s="14" t="str">
        <f>IF(C14="","Equation-dependent variable", Z24)</f>
        <v>Maximum Abutment Scour Flow Depth</v>
      </c>
      <c r="C24" s="75">
        <f>IF(ISERROR('Abutment NCHRP '!C146),"",'Abutment NCHRP '!C146)</f>
        <v>0</v>
      </c>
      <c r="D24" s="15" t="str">
        <f>IF(C14="","", "ft")</f>
        <v>ft</v>
      </c>
      <c r="E24" s="175" t="str">
        <f>IF(C14="","",AB24)</f>
        <v>Maximum flow depth resulting from abutment scour (Ymax)</v>
      </c>
      <c r="F24" s="176"/>
      <c r="G24" s="176"/>
      <c r="H24" s="176"/>
      <c r="I24" s="177"/>
      <c r="L24" s="3"/>
      <c r="M24" s="3"/>
      <c r="N24" s="3"/>
      <c r="O24" s="3"/>
      <c r="P24" s="3"/>
      <c r="Q24" s="3"/>
      <c r="Z24" s="112" t="s">
        <v>319</v>
      </c>
      <c r="AA24" s="112"/>
      <c r="AB24" s="100" t="s">
        <v>321</v>
      </c>
    </row>
    <row r="25" spans="2:28" ht="15.75" thickBot="1">
      <c r="B25" s="14"/>
      <c r="C25" s="109"/>
      <c r="D25" s="15"/>
      <c r="E25" s="107"/>
      <c r="F25" s="53"/>
      <c r="G25" s="53"/>
      <c r="H25" s="53"/>
      <c r="I25" s="54"/>
      <c r="L25" s="3"/>
      <c r="M25" s="3"/>
      <c r="N25" s="3"/>
      <c r="O25" s="3"/>
      <c r="P25" s="3"/>
      <c r="Q25" s="3"/>
    </row>
    <row r="26" spans="2:28">
      <c r="B26" s="213" t="s">
        <v>151</v>
      </c>
      <c r="C26" s="214"/>
      <c r="D26" s="214"/>
      <c r="E26" s="214"/>
      <c r="F26" s="214"/>
      <c r="G26" s="214"/>
      <c r="H26" s="214"/>
      <c r="I26" s="215"/>
      <c r="L26" s="216" t="s">
        <v>325</v>
      </c>
      <c r="M26" s="217"/>
      <c r="N26" s="217"/>
      <c r="O26" s="217"/>
      <c r="P26" s="217"/>
      <c r="Q26" s="218"/>
      <c r="Z26" s="112">
        <f>'Abutment NCHRP '!C141</f>
        <v>8.1</v>
      </c>
    </row>
    <row r="27" spans="2:28">
      <c r="B27" s="14" t="s">
        <v>286</v>
      </c>
      <c r="C27" s="183" t="s">
        <v>150</v>
      </c>
      <c r="D27" s="184"/>
      <c r="E27" s="56"/>
      <c r="F27" s="57"/>
      <c r="G27" s="57"/>
      <c r="H27" s="57"/>
      <c r="I27" s="58"/>
      <c r="Z27" s="112">
        <f>IF(ISERROR('Abutment NCHRP '!C151),0,'Abutment NCHRP '!C151)</f>
        <v>8.1199999999999992</v>
      </c>
    </row>
    <row r="28" spans="2:28">
      <c r="B28" s="14" t="s">
        <v>292</v>
      </c>
      <c r="C28" s="108">
        <v>307</v>
      </c>
      <c r="D28" s="17" t="s">
        <v>10</v>
      </c>
      <c r="E28" s="175" t="s">
        <v>295</v>
      </c>
      <c r="F28" s="176"/>
      <c r="G28" s="176"/>
      <c r="H28" s="176"/>
      <c r="I28" s="177"/>
    </row>
    <row r="29" spans="2:28">
      <c r="B29" s="14" t="s">
        <v>168</v>
      </c>
      <c r="C29" s="108">
        <v>450</v>
      </c>
      <c r="D29" s="15" t="s">
        <v>10</v>
      </c>
      <c r="E29" s="175" t="s">
        <v>294</v>
      </c>
      <c r="F29" s="176"/>
      <c r="G29" s="176"/>
      <c r="H29" s="176"/>
      <c r="I29" s="177"/>
    </row>
    <row r="30" spans="2:28">
      <c r="B30" s="14" t="s">
        <v>297</v>
      </c>
      <c r="C30" s="108"/>
      <c r="D30" s="15" t="s">
        <v>5</v>
      </c>
      <c r="E30" s="175" t="s">
        <v>305</v>
      </c>
      <c r="F30" s="176"/>
      <c r="G30" s="176"/>
      <c r="H30" s="176"/>
      <c r="I30" s="177"/>
    </row>
    <row r="31" spans="2:28">
      <c r="B31" s="14" t="s">
        <v>293</v>
      </c>
      <c r="C31" s="73">
        <f>IF(ISERROR('Abutment NCHRP '!C64),"",'Abutment NCHRP '!C64)</f>
        <v>0.68222222222222217</v>
      </c>
      <c r="D31" s="15" t="s">
        <v>5</v>
      </c>
      <c r="E31" s="175" t="s">
        <v>298</v>
      </c>
      <c r="F31" s="176"/>
      <c r="G31" s="176"/>
      <c r="H31" s="176"/>
      <c r="I31" s="177"/>
    </row>
    <row r="32" spans="2:28">
      <c r="B32" s="14" t="s">
        <v>296</v>
      </c>
      <c r="C32" s="73">
        <f>IF(ISERROR('Abutment NCHRP '!C65),"",'Abutment NCHRP '!C65)</f>
        <v>8.6</v>
      </c>
      <c r="D32" s="15" t="s">
        <v>5</v>
      </c>
      <c r="E32" s="175" t="s">
        <v>299</v>
      </c>
      <c r="F32" s="176"/>
      <c r="G32" s="176"/>
      <c r="H32" s="176"/>
      <c r="I32" s="177"/>
    </row>
    <row r="33" spans="2:13">
      <c r="B33" s="14" t="str">
        <f>IF(C32="","Equation-dependent variable", IF(C32=8.5,Z8,Z15))</f>
        <v>Upstream Flow Depth</v>
      </c>
      <c r="C33" s="153">
        <v>18.66</v>
      </c>
      <c r="D33" s="15" t="str">
        <f>IF(C32="","", "ft")</f>
        <v>ft</v>
      </c>
      <c r="E33" s="175" t="str">
        <f>IF($C$32="","", IF($C$32=8.5,AB8,AB15))</f>
        <v>Mean floodplain flow depth upstream of abutment (Y1)</v>
      </c>
      <c r="F33" s="176"/>
      <c r="G33" s="176"/>
      <c r="H33" s="176"/>
      <c r="I33" s="177"/>
    </row>
    <row r="34" spans="2:13">
      <c r="B34" s="14" t="str">
        <f>IF(C32="","Equation-dependent variable", IF(C32=8.5,Z9,Z16))</f>
        <v>Upstream Unit Discharge</v>
      </c>
      <c r="C34" s="153">
        <v>9153</v>
      </c>
      <c r="D34" s="15" t="str">
        <f>IF(C32="","", "cfs")</f>
        <v>cfs</v>
      </c>
      <c r="E34" s="175" t="str">
        <f t="shared" ref="E34:E36" si="0">IF($C$32="","", IF($C$32=8.5,AB9,AB16))</f>
        <v>Unit discharge in the floodplain upstream of bridge (qf)</v>
      </c>
      <c r="F34" s="176"/>
      <c r="G34" s="176"/>
      <c r="H34" s="176"/>
      <c r="I34" s="177"/>
    </row>
    <row r="35" spans="2:13">
      <c r="B35" s="14" t="str">
        <f>IF(C32="","Equation-dependent variable", IF(C32=8.5,Z10,Z17))</f>
        <v>Abutment Flow Depth</v>
      </c>
      <c r="C35" s="153">
        <v>19.72</v>
      </c>
      <c r="D35" s="15" t="str">
        <f>IF(C32="","", "ft")</f>
        <v>ft</v>
      </c>
      <c r="E35" s="175" t="str">
        <f t="shared" si="0"/>
        <v>Mean floodplain flow depth in contracted section (Y0)</v>
      </c>
      <c r="F35" s="176"/>
      <c r="G35" s="176"/>
      <c r="H35" s="176"/>
      <c r="I35" s="177"/>
      <c r="M35" s="11"/>
    </row>
    <row r="36" spans="2:13">
      <c r="B36" s="14" t="str">
        <f>IF(C32="","Equation-dependent variable", IF(C32=8.5,Z11,Z18))</f>
        <v>Abutment Unit Discharge</v>
      </c>
      <c r="C36" s="153">
        <v>7140</v>
      </c>
      <c r="D36" s="15" t="str">
        <f>IF(C32="","", "cfs")</f>
        <v>cfs</v>
      </c>
      <c r="E36" s="175" t="str">
        <f t="shared" si="0"/>
        <v>Unit discharge in the floodplain through the bridge (q2f)</v>
      </c>
      <c r="F36" s="176"/>
      <c r="G36" s="176"/>
      <c r="H36" s="176"/>
      <c r="I36" s="177"/>
      <c r="M36" s="11"/>
    </row>
    <row r="37" spans="2:13">
      <c r="B37" s="14" t="str">
        <f>IF(C32="","Equation-dependent variable", IF(C32=8.5,"",IF(C32=8.6,Z14,Z20)))</f>
        <v>D50</v>
      </c>
      <c r="C37" s="109">
        <v>1.5</v>
      </c>
      <c r="D37" s="15" t="str">
        <f>IF(OR(C32="",C32=8.5),"", IF(C32=8.6, AA14,AA20))</f>
        <v>mm</v>
      </c>
      <c r="E37" s="175" t="str">
        <f>IF(OR(C32="",C32=8.5),"", IF(C32=8.6,AB14,AB20))</f>
        <v>Median bed material diameter</v>
      </c>
      <c r="F37" s="176"/>
      <c r="G37" s="176"/>
      <c r="H37" s="176"/>
      <c r="I37" s="177"/>
      <c r="M37" s="11"/>
    </row>
    <row r="38" spans="2:13">
      <c r="B38" s="14"/>
      <c r="C38" s="109"/>
      <c r="D38" s="15"/>
      <c r="E38" s="175"/>
      <c r="F38" s="176"/>
      <c r="G38" s="176"/>
      <c r="H38" s="176"/>
      <c r="I38" s="177"/>
    </row>
    <row r="39" spans="2:13">
      <c r="B39" s="14" t="str">
        <f>IF(C32="","Equation-dependent variable", IF('Abutment NCHRP '!C151=8.11,"q2f/qf","q2/q1"))</f>
        <v>q2/q1</v>
      </c>
      <c r="C39" s="75">
        <f>IF(AND(C34="",C36=""),"",C36/C34)</f>
        <v>0.78007210750573586</v>
      </c>
      <c r="D39" s="15"/>
      <c r="E39" s="209"/>
      <c r="F39" s="210"/>
      <c r="G39" s="210"/>
      <c r="H39" s="210"/>
      <c r="I39" s="211"/>
    </row>
    <row r="40" spans="2:13">
      <c r="B40" s="14" t="s">
        <v>317</v>
      </c>
      <c r="C40" s="109"/>
      <c r="D40" s="15"/>
      <c r="E40" s="175" t="str">
        <f>"Live-bed or clear water amplification factor (αA, αB), ref. Figure "&amp;TEXT(Z27,"0.00")</f>
        <v>Live-bed or clear water amplification factor (αA, αB), ref. Figure 8.12</v>
      </c>
      <c r="F40" s="176"/>
      <c r="G40" s="176"/>
      <c r="H40" s="176"/>
      <c r="I40" s="177"/>
    </row>
    <row r="41" spans="2:13">
      <c r="B41" s="14" t="str">
        <f>IF(C32="","Equation-dependent variable", Z23)</f>
        <v>Contraction Scour Flow Depth</v>
      </c>
      <c r="C41" s="75">
        <f>IF(ISERROR('Abutment NCHRP '!C154),"",'Abutment NCHRP '!C154)</f>
        <v>1159.4322414715321</v>
      </c>
      <c r="D41" s="15" t="str">
        <f>IF(C32="","", "ft")</f>
        <v>ft</v>
      </c>
      <c r="E41" s="175" t="str">
        <f>IF(C32="","",AB23)</f>
        <v>Flow depth including contraction scour (Yc)</v>
      </c>
      <c r="F41" s="176"/>
      <c r="G41" s="176"/>
      <c r="H41" s="176"/>
      <c r="I41" s="177"/>
    </row>
    <row r="42" spans="2:13">
      <c r="B42" s="14" t="str">
        <f>IF(C32="","Equation-dependent variable", Z24)</f>
        <v>Maximum Abutment Scour Flow Depth</v>
      </c>
      <c r="C42" s="75">
        <f>IF(ISERROR('Abutment NCHRP '!C156),"",'Abutment NCHRP '!C156)</f>
        <v>0</v>
      </c>
      <c r="D42" s="15" t="str">
        <f>IF(C32="","", "ft")</f>
        <v>ft</v>
      </c>
      <c r="E42" s="175" t="str">
        <f>IF(C32="","",AB24)</f>
        <v>Maximum flow depth resulting from abutment scour (Ymax)</v>
      </c>
      <c r="F42" s="176"/>
      <c r="G42" s="176"/>
      <c r="H42" s="176"/>
      <c r="I42" s="177"/>
    </row>
    <row r="43" spans="2:13">
      <c r="B43" s="14"/>
      <c r="C43" s="109"/>
      <c r="D43" s="15"/>
      <c r="E43" s="93"/>
      <c r="F43" s="91"/>
      <c r="G43" s="91"/>
      <c r="H43" s="91"/>
      <c r="I43" s="92"/>
    </row>
    <row r="45" spans="2:13">
      <c r="B45" s="77"/>
      <c r="C45" s="77"/>
      <c r="D45" s="77"/>
      <c r="E45" s="77"/>
      <c r="F45" s="77"/>
      <c r="G45" s="77"/>
    </row>
    <row r="46" spans="2:13">
      <c r="B46" s="10" t="s">
        <v>106</v>
      </c>
    </row>
    <row r="47" spans="2:13">
      <c r="B47" s="189" t="str">
        <f>IF(C6="","",C6)</f>
        <v>Onslow Bridge</v>
      </c>
      <c r="C47" s="190"/>
      <c r="D47" s="191"/>
      <c r="E47" s="77"/>
      <c r="F47" s="77"/>
      <c r="G47" s="77"/>
    </row>
    <row r="48" spans="2:13">
      <c r="B48" s="189" t="str">
        <f>IF(C7="","",C7)</f>
        <v>New Onslow Bridge</v>
      </c>
      <c r="C48" s="190"/>
      <c r="D48" s="191"/>
    </row>
    <row r="49" spans="2:9">
      <c r="B49" s="169" t="s">
        <v>254</v>
      </c>
      <c r="C49" s="169"/>
      <c r="D49" s="169"/>
    </row>
    <row r="50" spans="2:9">
      <c r="B50" s="68" t="s">
        <v>256</v>
      </c>
      <c r="C50" s="80">
        <f>IF(ISERROR('Abutment NCHRP '!C147),"",'Abutment NCHRP '!C147)</f>
        <v>-19.72</v>
      </c>
      <c r="D50" s="70" t="s">
        <v>10</v>
      </c>
    </row>
    <row r="51" spans="2:9">
      <c r="B51" s="169" t="s">
        <v>260</v>
      </c>
      <c r="C51" s="169"/>
      <c r="D51" s="169"/>
    </row>
    <row r="52" spans="2:9">
      <c r="B52" s="68" t="s">
        <v>256</v>
      </c>
      <c r="C52" s="80">
        <f>IF(ISERROR('Abutment NCHRP '!C157),"",'Abutment NCHRP '!C157)</f>
        <v>-19.72</v>
      </c>
      <c r="D52" s="70" t="s">
        <v>10</v>
      </c>
    </row>
    <row r="54" spans="2:9">
      <c r="B54" s="67" t="s">
        <v>348</v>
      </c>
    </row>
    <row r="55" spans="2:9">
      <c r="B55" s="185" t="str">
        <f>IF(C6="","",C6)</f>
        <v>Onslow Bridge</v>
      </c>
      <c r="C55" s="186"/>
      <c r="D55" s="187"/>
      <c r="E55" s="77"/>
      <c r="F55" s="77"/>
      <c r="G55" s="77"/>
    </row>
    <row r="56" spans="2:9">
      <c r="B56" s="185" t="str">
        <f>IF(C7="","",C7)</f>
        <v>New Onslow Bridge</v>
      </c>
      <c r="C56" s="186"/>
      <c r="D56" s="187"/>
    </row>
    <row r="57" spans="2:9">
      <c r="B57" s="188" t="s">
        <v>322</v>
      </c>
      <c r="C57" s="188"/>
      <c r="D57" s="188"/>
    </row>
    <row r="58" spans="2:9">
      <c r="B58" s="13" t="s">
        <v>122</v>
      </c>
      <c r="C58" s="111"/>
      <c r="D58" s="66" t="s">
        <v>10</v>
      </c>
    </row>
    <row r="59" spans="2:9">
      <c r="B59" s="13" t="s">
        <v>151</v>
      </c>
      <c r="C59" s="111"/>
      <c r="D59" s="66" t="s">
        <v>10</v>
      </c>
    </row>
    <row r="60" spans="2:9">
      <c r="B60" s="212" t="s">
        <v>265</v>
      </c>
      <c r="C60" s="212"/>
      <c r="D60" s="212"/>
      <c r="E60" s="9"/>
      <c r="F60" s="9"/>
      <c r="G60" s="9"/>
      <c r="I60" s="26"/>
    </row>
    <row r="61" spans="2:9">
      <c r="B61" s="212"/>
      <c r="C61" s="212"/>
      <c r="D61" s="212"/>
      <c r="E61" s="9"/>
      <c r="F61" s="9"/>
      <c r="G61" s="9"/>
      <c r="I61" s="26"/>
    </row>
  </sheetData>
  <sheetProtection algorithmName="SHA-512" hashValue="z4No9E3r0pUkU/6eNMPxaIm/7N5LZ32J5EOmqlVX4Wf3Sxz6FRVnGImN7mekU8J40GPc+RTADRrAvJch4f/X5A==" saltValue="CpPuZtg7Hui1O/HCSavzOg==" spinCount="100000" sheet="1" objects="1" scenarios="1" formatCells="0" selectLockedCells="1"/>
  <mergeCells count="42">
    <mergeCell ref="L8:Q8"/>
    <mergeCell ref="L26:Q26"/>
    <mergeCell ref="C6:I6"/>
    <mergeCell ref="C7:I7"/>
    <mergeCell ref="E13:I13"/>
    <mergeCell ref="E21:I21"/>
    <mergeCell ref="E24:I24"/>
    <mergeCell ref="B26:I26"/>
    <mergeCell ref="B57:D57"/>
    <mergeCell ref="B60:D61"/>
    <mergeCell ref="B8:I8"/>
    <mergeCell ref="C9:D9"/>
    <mergeCell ref="E10:I10"/>
    <mergeCell ref="E22:I22"/>
    <mergeCell ref="E20:I20"/>
    <mergeCell ref="E14:I14"/>
    <mergeCell ref="E12:I12"/>
    <mergeCell ref="E11:I11"/>
    <mergeCell ref="B49:D49"/>
    <mergeCell ref="B51:D51"/>
    <mergeCell ref="E19:I19"/>
    <mergeCell ref="E23:I23"/>
    <mergeCell ref="C27:D27"/>
    <mergeCell ref="E28:I28"/>
    <mergeCell ref="E30:I30"/>
    <mergeCell ref="E31:I31"/>
    <mergeCell ref="E32:I32"/>
    <mergeCell ref="E29:I29"/>
    <mergeCell ref="B47:D47"/>
    <mergeCell ref="B48:D48"/>
    <mergeCell ref="B55:D55"/>
    <mergeCell ref="B56:D56"/>
    <mergeCell ref="E33:I33"/>
    <mergeCell ref="E34:I34"/>
    <mergeCell ref="E35:I35"/>
    <mergeCell ref="E36:I36"/>
    <mergeCell ref="E39:I39"/>
    <mergeCell ref="E37:I37"/>
    <mergeCell ref="E38:I38"/>
    <mergeCell ref="E40:I40"/>
    <mergeCell ref="E41:I41"/>
    <mergeCell ref="E42:I42"/>
  </mergeCells>
  <dataValidations count="1">
    <dataValidation type="list" allowBlank="1" showInputMessage="1" showErrorMessage="1" sqref="C9:D9 C27:D27" xr:uid="{ABD38A27-1404-436F-B604-1FB22726565A}">
      <formula1>$W$8:$W$10</formula1>
    </dataValidation>
  </dataValidations>
  <pageMargins left="0.7" right="0.7" top="0.75" bottom="0.75" header="0.3" footer="0.3"/>
  <pageSetup scale="70" orientation="portrait" horizontalDpi="4294967293" verticalDpi="0" r:id="rId1"/>
  <headerFooter>
    <oddFooter>&amp;LRef: NCHRP 24-20 (HEC-18, FHWA-HIF-12-003)&amp;CNCHRP 24-20 Abutment Scour Calculations&amp;RPage &amp;P</oddFooter>
  </headerFooter>
  <colBreaks count="1" manualBreakCount="1">
    <brk id="10" max="1048575" man="1"/>
  </colBreaks>
  <drawing r:id="rId2"/>
  <legacyDrawing r:id="rId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A8D3751-0C26-430B-96C7-378E79288444}">
  <sheetPr>
    <tabColor theme="5" tint="0.39997558519241921"/>
  </sheetPr>
  <dimension ref="A1:V232"/>
  <sheetViews>
    <sheetView topLeftCell="A88" zoomScale="130" zoomScaleNormal="130" workbookViewId="0">
      <selection activeCell="N81" sqref="N81"/>
    </sheetView>
  </sheetViews>
  <sheetFormatPr defaultRowHeight="15"/>
  <cols>
    <col min="1" max="16" width="9.140625" style="9"/>
    <col min="17" max="17" width="55.42578125" style="9" customWidth="1"/>
    <col min="18" max="16384" width="9.140625" style="9"/>
  </cols>
  <sheetData>
    <row r="1" spans="1:1">
      <c r="A1" s="10" t="s">
        <v>109</v>
      </c>
    </row>
    <row r="2" spans="1:1">
      <c r="A2" s="9" t="s">
        <v>36</v>
      </c>
    </row>
    <row r="3" spans="1:1">
      <c r="A3" s="9" t="s">
        <v>165</v>
      </c>
    </row>
    <row r="4" spans="1:1">
      <c r="A4" s="9" t="s">
        <v>110</v>
      </c>
    </row>
    <row r="47" spans="1:22">
      <c r="A47" s="27"/>
      <c r="B47" s="27"/>
      <c r="C47" s="27"/>
      <c r="D47" s="27"/>
      <c r="E47" s="27"/>
      <c r="F47" s="27"/>
      <c r="G47" s="27"/>
      <c r="H47" s="27"/>
      <c r="I47" s="27"/>
      <c r="J47" s="27"/>
      <c r="K47" s="27"/>
      <c r="L47" s="27"/>
      <c r="M47" s="27"/>
      <c r="N47" s="27"/>
      <c r="O47" s="27"/>
      <c r="P47" s="27"/>
      <c r="Q47" s="27"/>
      <c r="R47" s="27"/>
      <c r="S47" s="27"/>
      <c r="T47" s="27"/>
      <c r="U47" s="27"/>
      <c r="V47" s="27"/>
    </row>
    <row r="48" spans="1:22">
      <c r="A48" s="192" t="s">
        <v>166</v>
      </c>
      <c r="B48" s="193"/>
      <c r="C48" s="193"/>
      <c r="D48" s="193"/>
      <c r="E48" s="193"/>
      <c r="F48" s="193"/>
      <c r="G48" s="193"/>
      <c r="H48" s="193"/>
      <c r="I48" s="193"/>
      <c r="J48" s="193"/>
      <c r="K48" s="193"/>
      <c r="L48" s="193"/>
      <c r="M48" s="193"/>
      <c r="N48" s="193"/>
      <c r="O48" s="193"/>
      <c r="P48" s="193"/>
      <c r="Q48" s="193"/>
      <c r="R48" s="193"/>
      <c r="S48" s="193"/>
      <c r="T48" s="193"/>
      <c r="U48" s="193"/>
      <c r="V48" s="194"/>
    </row>
    <row r="50" spans="1:5">
      <c r="B50" s="9" t="s">
        <v>167</v>
      </c>
    </row>
    <row r="51" spans="1:5">
      <c r="B51" s="9" t="s">
        <v>173</v>
      </c>
    </row>
    <row r="53" spans="1:5">
      <c r="A53" s="10" t="s">
        <v>122</v>
      </c>
    </row>
    <row r="54" spans="1:5">
      <c r="B54" s="11" t="s">
        <v>123</v>
      </c>
      <c r="C54" s="12">
        <f>'NCHRP Abutment Scour'!C10</f>
        <v>247</v>
      </c>
      <c r="D54" s="9" t="s">
        <v>10</v>
      </c>
      <c r="E54" s="9" t="s">
        <v>169</v>
      </c>
    </row>
    <row r="55" spans="1:5">
      <c r="B55" s="11" t="s">
        <v>277</v>
      </c>
      <c r="C55" s="12">
        <f>'NCHRP Abutment Scour'!C11</f>
        <v>300</v>
      </c>
      <c r="D55" s="9" t="s">
        <v>10</v>
      </c>
      <c r="E55" s="9" t="s">
        <v>168</v>
      </c>
    </row>
    <row r="56" spans="1:5">
      <c r="B56" s="47" t="s">
        <v>278</v>
      </c>
      <c r="C56" s="12">
        <f>'NCHRP Abutment Scour'!C12</f>
        <v>0</v>
      </c>
      <c r="D56" s="9" t="s">
        <v>172</v>
      </c>
      <c r="E56" s="9" t="s">
        <v>268</v>
      </c>
    </row>
    <row r="57" spans="1:5">
      <c r="B57" s="47" t="s">
        <v>293</v>
      </c>
      <c r="C57" s="62">
        <f>C54/C55</f>
        <v>0.82333333333333336</v>
      </c>
    </row>
    <row r="58" spans="1:5">
      <c r="B58" s="46" t="s">
        <v>276</v>
      </c>
      <c r="C58" s="12">
        <f>IF(C57&lt;0.75,IF(C56=0,8.6, 8.7),8.5)</f>
        <v>8.5</v>
      </c>
    </row>
    <row r="60" spans="1:5">
      <c r="A60" s="10" t="s">
        <v>151</v>
      </c>
    </row>
    <row r="61" spans="1:5">
      <c r="B61" s="11" t="s">
        <v>123</v>
      </c>
      <c r="C61" s="12">
        <f>'NCHRP Abutment Scour'!C28</f>
        <v>307</v>
      </c>
      <c r="D61" s="9" t="s">
        <v>10</v>
      </c>
      <c r="E61" s="9" t="s">
        <v>169</v>
      </c>
    </row>
    <row r="62" spans="1:5">
      <c r="B62" s="11" t="s">
        <v>277</v>
      </c>
      <c r="C62" s="12">
        <f>'NCHRP Abutment Scour'!C29</f>
        <v>450</v>
      </c>
      <c r="D62" s="9" t="s">
        <v>10</v>
      </c>
      <c r="E62" s="9" t="s">
        <v>168</v>
      </c>
    </row>
    <row r="63" spans="1:5">
      <c r="B63" s="47" t="s">
        <v>279</v>
      </c>
      <c r="C63" s="12">
        <f>'NCHRP Abutment Scour'!C30</f>
        <v>0</v>
      </c>
      <c r="D63" s="9" t="s">
        <v>172</v>
      </c>
      <c r="E63" s="9" t="s">
        <v>268</v>
      </c>
    </row>
    <row r="64" spans="1:5">
      <c r="B64" s="47" t="s">
        <v>293</v>
      </c>
      <c r="C64" s="62">
        <f>C61/C62</f>
        <v>0.68222222222222217</v>
      </c>
    </row>
    <row r="65" spans="1:22">
      <c r="B65" s="46" t="s">
        <v>276</v>
      </c>
      <c r="C65" s="76">
        <f>IF(C64&lt;0.75,IF(C63=0,8.6, 8.7),8.5)</f>
        <v>8.6</v>
      </c>
    </row>
    <row r="67" spans="1:22">
      <c r="A67" s="27"/>
      <c r="B67" s="27"/>
      <c r="C67" s="27"/>
      <c r="D67" s="27"/>
      <c r="E67" s="27"/>
      <c r="F67" s="27"/>
      <c r="G67" s="27"/>
      <c r="H67" s="27"/>
      <c r="I67" s="27"/>
      <c r="J67" s="27"/>
      <c r="K67" s="27"/>
      <c r="L67" s="27"/>
      <c r="M67" s="27"/>
      <c r="N67" s="27"/>
      <c r="O67" s="27"/>
      <c r="P67" s="27"/>
      <c r="Q67" s="27"/>
      <c r="R67" s="27"/>
      <c r="S67" s="27"/>
      <c r="T67" s="27"/>
      <c r="U67" s="27"/>
      <c r="V67" s="27"/>
    </row>
    <row r="68" spans="1:22">
      <c r="A68" s="192" t="s">
        <v>269</v>
      </c>
      <c r="B68" s="193"/>
      <c r="C68" s="193"/>
      <c r="D68" s="193"/>
      <c r="E68" s="193"/>
      <c r="F68" s="193"/>
      <c r="G68" s="193"/>
      <c r="H68" s="193"/>
      <c r="I68" s="193"/>
      <c r="J68" s="193"/>
      <c r="K68" s="193"/>
      <c r="L68" s="193"/>
      <c r="M68" s="193"/>
      <c r="N68" s="193"/>
      <c r="O68" s="193"/>
      <c r="P68" s="193"/>
      <c r="Q68" s="193"/>
      <c r="R68" s="193"/>
      <c r="S68" s="193"/>
      <c r="T68" s="193"/>
      <c r="U68" s="193"/>
      <c r="V68" s="194"/>
    </row>
    <row r="70" spans="1:22">
      <c r="A70" s="10" t="s">
        <v>122</v>
      </c>
    </row>
    <row r="71" spans="1:22">
      <c r="B71" s="11" t="s">
        <v>280</v>
      </c>
      <c r="C71" s="12">
        <f>'NCHRP Abutment Scour'!C15</f>
        <v>18.66</v>
      </c>
      <c r="D71" s="9" t="s">
        <v>10</v>
      </c>
    </row>
    <row r="72" spans="1:22">
      <c r="B72" s="11" t="s">
        <v>171</v>
      </c>
      <c r="C72" s="12">
        <f>'NCHRP Abutment Scour'!C16</f>
        <v>7140</v>
      </c>
      <c r="D72" s="9" t="s">
        <v>9</v>
      </c>
    </row>
    <row r="73" spans="1:22">
      <c r="B73" s="46" t="s">
        <v>274</v>
      </c>
      <c r="C73" s="9">
        <f>'NCHRP Abutment Scour'!C18</f>
        <v>9153</v>
      </c>
      <c r="D73" s="9" t="s">
        <v>9</v>
      </c>
    </row>
    <row r="74" spans="1:22">
      <c r="B74" s="11"/>
      <c r="C74" s="12"/>
    </row>
    <row r="75" spans="1:22">
      <c r="A75" s="10"/>
      <c r="B75" s="11" t="s">
        <v>275</v>
      </c>
      <c r="C75" s="9">
        <f>C71*(C73/C72)^(6/7)</f>
        <v>23.087003484125297</v>
      </c>
      <c r="D75" s="9" t="s">
        <v>10</v>
      </c>
    </row>
    <row r="79" spans="1:22">
      <c r="A79" s="10" t="s">
        <v>151</v>
      </c>
    </row>
    <row r="80" spans="1:22">
      <c r="B80" s="11" t="s">
        <v>280</v>
      </c>
      <c r="C80" s="12">
        <f>'NCHRP Abutment Scour'!C33</f>
        <v>18.66</v>
      </c>
      <c r="D80" s="9" t="s">
        <v>10</v>
      </c>
    </row>
    <row r="81" spans="1:22">
      <c r="B81" s="11" t="s">
        <v>171</v>
      </c>
      <c r="C81" s="12">
        <f>'NCHRP Abutment Scour'!C34</f>
        <v>9153</v>
      </c>
      <c r="D81" s="9" t="s">
        <v>9</v>
      </c>
    </row>
    <row r="82" spans="1:22">
      <c r="B82" s="46" t="s">
        <v>274</v>
      </c>
      <c r="C82" s="9">
        <f>'NCHRP Abutment Scour'!C36</f>
        <v>7140</v>
      </c>
      <c r="D82" s="9" t="s">
        <v>9</v>
      </c>
    </row>
    <row r="83" spans="1:22">
      <c r="B83" s="11"/>
    </row>
    <row r="84" spans="1:22">
      <c r="A84" s="10"/>
      <c r="B84" s="11" t="s">
        <v>275</v>
      </c>
      <c r="C84" s="9">
        <f>C80*(C82/C81)^(6/7)</f>
        <v>15.081887965210408</v>
      </c>
      <c r="D84" s="9" t="s">
        <v>10</v>
      </c>
    </row>
    <row r="92" spans="1:22">
      <c r="A92" s="27"/>
      <c r="B92" s="27"/>
      <c r="C92" s="27"/>
      <c r="D92" s="27"/>
      <c r="E92" s="27"/>
      <c r="F92" s="27"/>
      <c r="G92" s="27"/>
      <c r="H92" s="27"/>
      <c r="I92" s="27"/>
      <c r="J92" s="27"/>
      <c r="K92" s="27"/>
      <c r="L92" s="27"/>
      <c r="M92" s="27"/>
      <c r="N92" s="27"/>
      <c r="O92" s="27"/>
      <c r="P92" s="27"/>
      <c r="Q92" s="27"/>
      <c r="R92" s="27"/>
      <c r="S92" s="27"/>
      <c r="T92" s="27"/>
      <c r="U92" s="27"/>
      <c r="V92" s="27"/>
    </row>
    <row r="93" spans="1:22">
      <c r="A93" s="192" t="s">
        <v>270</v>
      </c>
      <c r="B93" s="193"/>
      <c r="C93" s="193"/>
      <c r="D93" s="193"/>
      <c r="E93" s="193"/>
      <c r="F93" s="193"/>
      <c r="G93" s="193"/>
      <c r="H93" s="193"/>
      <c r="I93" s="193"/>
      <c r="J93" s="193"/>
      <c r="K93" s="193"/>
      <c r="L93" s="193"/>
      <c r="M93" s="193"/>
      <c r="N93" s="193"/>
      <c r="O93" s="193"/>
      <c r="P93" s="193"/>
      <c r="Q93" s="193"/>
      <c r="R93" s="193"/>
      <c r="S93" s="193"/>
      <c r="T93" s="193"/>
      <c r="U93" s="193"/>
      <c r="V93" s="194"/>
    </row>
    <row r="95" spans="1:22">
      <c r="A95" s="10" t="s">
        <v>122</v>
      </c>
    </row>
    <row r="96" spans="1:22">
      <c r="B96" s="46" t="s">
        <v>281</v>
      </c>
      <c r="C96" s="9">
        <f>'NCHRP Abutment Scour'!C18</f>
        <v>9153</v>
      </c>
      <c r="D96" s="9" t="s">
        <v>9</v>
      </c>
    </row>
    <row r="97" spans="1:4">
      <c r="B97" s="11" t="s">
        <v>46</v>
      </c>
      <c r="C97" s="9">
        <f>'NCHRP Abutment Scour'!C19</f>
        <v>1.5</v>
      </c>
      <c r="D97" s="9" t="s">
        <v>12</v>
      </c>
    </row>
    <row r="98" spans="1:4">
      <c r="B98" s="11" t="s">
        <v>46</v>
      </c>
      <c r="C98" s="9">
        <f>C97*0.00328084</f>
        <v>4.9212600000000002E-3</v>
      </c>
      <c r="D98" s="9" t="s">
        <v>10</v>
      </c>
    </row>
    <row r="99" spans="1:4">
      <c r="B99" s="11"/>
      <c r="C99" s="12"/>
    </row>
    <row r="100" spans="1:4">
      <c r="A100" s="10"/>
      <c r="B100" s="11" t="s">
        <v>275</v>
      </c>
      <c r="C100" s="9">
        <f>(C96/(11.17*C98^(1/3)))^(6/7)</f>
        <v>1434.5024758017387</v>
      </c>
      <c r="D100" s="9" t="s">
        <v>10</v>
      </c>
    </row>
    <row r="104" spans="1:4">
      <c r="A104" s="10" t="s">
        <v>151</v>
      </c>
    </row>
    <row r="105" spans="1:4">
      <c r="B105" s="46" t="s">
        <v>281</v>
      </c>
      <c r="C105" s="9">
        <f>'NCHRP Abutment Scour'!C36</f>
        <v>7140</v>
      </c>
      <c r="D105" s="9" t="s">
        <v>9</v>
      </c>
    </row>
    <row r="106" spans="1:4">
      <c r="B106" s="11" t="s">
        <v>272</v>
      </c>
      <c r="C106" s="9">
        <f>'NCHRP Abutment Scour'!C37</f>
        <v>1.5</v>
      </c>
      <c r="D106" s="9" t="s">
        <v>12</v>
      </c>
    </row>
    <row r="107" spans="1:4">
      <c r="B107" s="11" t="s">
        <v>272</v>
      </c>
      <c r="C107" s="9">
        <f>C106*0.00328084</f>
        <v>4.9212600000000002E-3</v>
      </c>
      <c r="D107" s="9" t="s">
        <v>10</v>
      </c>
    </row>
    <row r="108" spans="1:4">
      <c r="B108" s="11"/>
      <c r="C108" s="12"/>
    </row>
    <row r="109" spans="1:4">
      <c r="A109" s="10"/>
      <c r="B109" s="11" t="s">
        <v>271</v>
      </c>
      <c r="C109" s="9">
        <f>(C105/(11.17*C107^(1/3)))^(6/7)</f>
        <v>1159.4322414715321</v>
      </c>
      <c r="D109" s="9" t="s">
        <v>10</v>
      </c>
    </row>
    <row r="113" spans="1:22">
      <c r="A113" s="27"/>
      <c r="B113" s="27"/>
      <c r="C113" s="27"/>
      <c r="D113" s="27"/>
      <c r="E113" s="27"/>
      <c r="F113" s="27"/>
      <c r="G113" s="27"/>
      <c r="H113" s="27"/>
      <c r="I113" s="27"/>
      <c r="J113" s="27"/>
      <c r="K113" s="27"/>
      <c r="L113" s="27"/>
      <c r="M113" s="27"/>
      <c r="N113" s="27"/>
      <c r="O113" s="27"/>
      <c r="P113" s="27"/>
      <c r="Q113" s="27"/>
      <c r="R113" s="27"/>
      <c r="S113" s="27"/>
      <c r="T113" s="27"/>
      <c r="U113" s="27"/>
      <c r="V113" s="27"/>
    </row>
    <row r="114" spans="1:22">
      <c r="A114" s="208" t="s">
        <v>288</v>
      </c>
      <c r="B114" s="208"/>
      <c r="C114" s="208"/>
      <c r="D114" s="208"/>
      <c r="E114" s="208"/>
      <c r="F114" s="208"/>
      <c r="G114" s="208"/>
      <c r="H114" s="208"/>
      <c r="I114" s="208"/>
      <c r="J114" s="208"/>
      <c r="K114" s="208"/>
      <c r="L114" s="208"/>
      <c r="M114" s="208"/>
      <c r="N114" s="208"/>
      <c r="O114" s="208"/>
      <c r="P114" s="208"/>
      <c r="Q114" s="208"/>
      <c r="R114" s="208"/>
      <c r="S114" s="208"/>
      <c r="T114" s="208"/>
      <c r="U114" s="208"/>
      <c r="V114" s="208"/>
    </row>
    <row r="116" spans="1:22">
      <c r="A116" s="10" t="s">
        <v>122</v>
      </c>
    </row>
    <row r="117" spans="1:22">
      <c r="B117" s="46" t="s">
        <v>281</v>
      </c>
      <c r="C117" s="9">
        <f>'NCHRP Abutment Scour'!C18</f>
        <v>9153</v>
      </c>
      <c r="D117" s="9" t="s">
        <v>9</v>
      </c>
    </row>
    <row r="118" spans="1:22">
      <c r="B118" s="11" t="s">
        <v>282</v>
      </c>
      <c r="C118" s="9">
        <f>'NCHRP Abutment Scour'!C19</f>
        <v>1.5</v>
      </c>
    </row>
    <row r="119" spans="1:22">
      <c r="B119" s="47" t="s">
        <v>283</v>
      </c>
      <c r="C119" s="12">
        <f>'NCHRP Abutment Scour'!C12</f>
        <v>0</v>
      </c>
      <c r="D119" s="9" t="s">
        <v>172</v>
      </c>
    </row>
    <row r="120" spans="1:22">
      <c r="B120" s="71" t="s">
        <v>132</v>
      </c>
      <c r="C120" s="9">
        <v>62.43</v>
      </c>
      <c r="D120" s="9" t="s">
        <v>273</v>
      </c>
    </row>
    <row r="122" spans="1:22">
      <c r="B122" s="11" t="s">
        <v>275</v>
      </c>
      <c r="C122" s="9" t="e">
        <f>(C120/C119)^(3/7)*(C118*C117/1.486)^(6/7)</f>
        <v>#DIV/0!</v>
      </c>
      <c r="D122" s="9" t="s">
        <v>10</v>
      </c>
    </row>
    <row r="126" spans="1:22">
      <c r="A126" s="10" t="s">
        <v>151</v>
      </c>
    </row>
    <row r="127" spans="1:22">
      <c r="B127" s="46" t="s">
        <v>281</v>
      </c>
      <c r="C127" s="9">
        <f>'NCHRP Abutment Scour'!C36</f>
        <v>7140</v>
      </c>
      <c r="D127" s="9" t="s">
        <v>9</v>
      </c>
    </row>
    <row r="128" spans="1:22">
      <c r="B128" s="11" t="s">
        <v>282</v>
      </c>
      <c r="C128" s="9">
        <f>'NCHRP Abutment Scour'!C37</f>
        <v>1.5</v>
      </c>
    </row>
    <row r="129" spans="1:22">
      <c r="B129" s="47" t="s">
        <v>283</v>
      </c>
      <c r="C129" s="9">
        <f>'NCHRP Abutment Scour'!C30</f>
        <v>0</v>
      </c>
      <c r="D129" s="9" t="s">
        <v>172</v>
      </c>
    </row>
    <row r="130" spans="1:22">
      <c r="B130" s="71" t="s">
        <v>132</v>
      </c>
      <c r="C130" s="9">
        <v>62.43</v>
      </c>
      <c r="D130" s="9" t="s">
        <v>273</v>
      </c>
    </row>
    <row r="132" spans="1:22">
      <c r="B132" s="11" t="s">
        <v>275</v>
      </c>
      <c r="C132" s="9" t="e">
        <f>(C130/C129)^(3/7)*(C128*C127/1.486)^(6/7)</f>
        <v>#DIV/0!</v>
      </c>
      <c r="D132" s="9" t="s">
        <v>10</v>
      </c>
    </row>
    <row r="136" spans="1:22">
      <c r="A136" s="27"/>
      <c r="B136" s="27"/>
      <c r="C136" s="27"/>
      <c r="D136" s="27"/>
      <c r="E136" s="27"/>
      <c r="F136" s="27"/>
      <c r="G136" s="27"/>
      <c r="H136" s="27"/>
      <c r="I136" s="27"/>
      <c r="J136" s="27"/>
      <c r="K136" s="27"/>
      <c r="L136" s="27"/>
      <c r="M136" s="27"/>
      <c r="N136" s="27"/>
      <c r="O136" s="27"/>
      <c r="P136" s="27"/>
      <c r="Q136" s="27"/>
      <c r="R136" s="27"/>
      <c r="S136" s="27"/>
      <c r="T136" s="27"/>
      <c r="U136" s="27"/>
      <c r="V136" s="27"/>
    </row>
    <row r="137" spans="1:22">
      <c r="A137" s="192" t="s">
        <v>284</v>
      </c>
      <c r="B137" s="193"/>
      <c r="C137" s="193"/>
      <c r="D137" s="193"/>
      <c r="E137" s="193"/>
      <c r="F137" s="193"/>
      <c r="G137" s="193"/>
      <c r="H137" s="193"/>
      <c r="I137" s="193"/>
      <c r="J137" s="193"/>
      <c r="K137" s="193"/>
      <c r="L137" s="193"/>
      <c r="M137" s="193"/>
      <c r="N137" s="193"/>
      <c r="O137" s="193"/>
      <c r="P137" s="193"/>
      <c r="Q137" s="193"/>
      <c r="R137" s="193"/>
      <c r="S137" s="193"/>
      <c r="T137" s="193"/>
      <c r="U137" s="193"/>
      <c r="V137" s="194"/>
    </row>
    <row r="138" spans="1:22">
      <c r="H138" s="9" t="s">
        <v>287</v>
      </c>
    </row>
    <row r="139" spans="1:22">
      <c r="A139" s="10" t="s">
        <v>285</v>
      </c>
      <c r="H139" s="9" t="s">
        <v>150</v>
      </c>
    </row>
    <row r="140" spans="1:22">
      <c r="B140" s="11" t="s">
        <v>286</v>
      </c>
      <c r="C140" s="9" t="str">
        <f>'NCHRP Abutment Scour'!C9</f>
        <v>Wingwall</v>
      </c>
    </row>
    <row r="141" spans="1:22">
      <c r="B141" s="11" t="s">
        <v>289</v>
      </c>
      <c r="C141" s="29">
        <f>IF(OR(C140=0,ISERROR(C58)),0,IF(C58=8.5, IF(C140=H139,8.1,8.9),IF(C140=H139,8.12,8.11)))</f>
        <v>8.1</v>
      </c>
    </row>
    <row r="142" spans="1:22">
      <c r="B142" s="71" t="s">
        <v>208</v>
      </c>
      <c r="C142" s="9">
        <f>'NCHRP Abutment Scour'!C22</f>
        <v>0</v>
      </c>
    </row>
    <row r="143" spans="1:22">
      <c r="B143" s="11" t="s">
        <v>53</v>
      </c>
      <c r="C143" s="9">
        <f>'NCHRP Abutment Scour'!C17</f>
        <v>19.72</v>
      </c>
      <c r="D143" s="9" t="s">
        <v>10</v>
      </c>
    </row>
    <row r="144" spans="1:22">
      <c r="B144" s="47" t="s">
        <v>271</v>
      </c>
      <c r="C144" s="9">
        <f>IF(C58=8.5,C75,IF(C58=8.6,C100,C122))</f>
        <v>23.087003484125297</v>
      </c>
      <c r="D144" s="9" t="s">
        <v>10</v>
      </c>
    </row>
    <row r="146" spans="1:4">
      <c r="B146" s="11" t="s">
        <v>238</v>
      </c>
      <c r="C146" s="9">
        <f>C144*C142</f>
        <v>0</v>
      </c>
      <c r="D146" s="9" t="s">
        <v>10</v>
      </c>
    </row>
    <row r="147" spans="1:4">
      <c r="B147" s="11" t="s">
        <v>164</v>
      </c>
      <c r="C147" s="9">
        <f>C146-C143</f>
        <v>-19.72</v>
      </c>
      <c r="D147" s="9" t="s">
        <v>10</v>
      </c>
    </row>
    <row r="150" spans="1:4">
      <c r="B150" s="11" t="s">
        <v>286</v>
      </c>
      <c r="C150" s="9" t="str" cm="1">
        <f t="array" ref="C150:D150">'NCHRP Abutment Scour'!C27:D27</f>
        <v>Wingwall</v>
      </c>
      <c r="D150" s="9">
        <v>0</v>
      </c>
    </row>
    <row r="151" spans="1:4">
      <c r="A151" s="10" t="s">
        <v>290</v>
      </c>
      <c r="B151" s="11" t="s">
        <v>289</v>
      </c>
      <c r="C151" s="29">
        <f>IF(OR(C150=0,ISERROR(C65)),0,IF(C65=8.5, IF(C150=H139,8.1,8.9),IF(C150=H139,8.12,8.11)))</f>
        <v>8.1199999999999992</v>
      </c>
    </row>
    <row r="152" spans="1:4">
      <c r="B152" s="71" t="s">
        <v>208</v>
      </c>
      <c r="C152" s="9">
        <f>'NCHRP Abutment Scour'!C40</f>
        <v>0</v>
      </c>
    </row>
    <row r="153" spans="1:4">
      <c r="B153" s="11" t="s">
        <v>53</v>
      </c>
      <c r="C153" s="9">
        <f>'NCHRP Abutment Scour'!C35</f>
        <v>19.72</v>
      </c>
      <c r="D153" s="9" t="s">
        <v>10</v>
      </c>
    </row>
    <row r="154" spans="1:4">
      <c r="B154" s="47" t="s">
        <v>271</v>
      </c>
      <c r="C154" s="9">
        <f>IF(C65=8.5,C84,IF(C65=8.6,C109,C132))</f>
        <v>1159.4322414715321</v>
      </c>
      <c r="D154" s="9" t="s">
        <v>10</v>
      </c>
    </row>
    <row r="156" spans="1:4">
      <c r="B156" s="11" t="s">
        <v>238</v>
      </c>
      <c r="C156" s="9">
        <f>C154*C152</f>
        <v>0</v>
      </c>
      <c r="D156" s="9" t="s">
        <v>10</v>
      </c>
    </row>
    <row r="157" spans="1:4">
      <c r="B157" s="11" t="s">
        <v>164</v>
      </c>
      <c r="C157" s="9">
        <f>C156-C153</f>
        <v>-19.72</v>
      </c>
      <c r="D157" s="9" t="s">
        <v>10</v>
      </c>
    </row>
    <row r="158" spans="1:4">
      <c r="B158" s="11"/>
    </row>
    <row r="159" spans="1:4">
      <c r="B159" s="11"/>
    </row>
    <row r="160" spans="1:4">
      <c r="B160" s="11"/>
    </row>
    <row r="161" spans="2:2">
      <c r="B161" s="11"/>
    </row>
    <row r="162" spans="2:2">
      <c r="B162" s="11"/>
    </row>
    <row r="163" spans="2:2">
      <c r="B163" s="11"/>
    </row>
    <row r="164" spans="2:2">
      <c r="B164" s="11"/>
    </row>
    <row r="165" spans="2:2">
      <c r="B165" s="11"/>
    </row>
    <row r="166" spans="2:2">
      <c r="B166" s="11"/>
    </row>
    <row r="167" spans="2:2">
      <c r="B167" s="11"/>
    </row>
    <row r="168" spans="2:2">
      <c r="B168" s="11"/>
    </row>
    <row r="169" spans="2:2">
      <c r="B169" s="11"/>
    </row>
    <row r="170" spans="2:2">
      <c r="B170" s="11"/>
    </row>
    <row r="171" spans="2:2">
      <c r="B171" s="11"/>
    </row>
    <row r="228" spans="16:16">
      <c r="P228" s="9">
        <v>0</v>
      </c>
    </row>
    <row r="229" spans="16:16" ht="271.5" customHeight="1">
      <c r="P229" s="9">
        <v>8.9</v>
      </c>
    </row>
    <row r="230" spans="16:16" ht="271.5" customHeight="1">
      <c r="P230" s="74">
        <v>8.1</v>
      </c>
    </row>
    <row r="231" spans="16:16" ht="271.5" customHeight="1">
      <c r="P231" s="9">
        <v>8.11</v>
      </c>
    </row>
    <row r="232" spans="16:16" ht="271.5" customHeight="1">
      <c r="P232" s="9">
        <v>8.1199999999999992</v>
      </c>
    </row>
  </sheetData>
  <sheetProtection algorithmName="SHA-512" hashValue="AKGjTnI6V7Ypqidp+EtYOLaP2I318RLAvaaPRKNM4tf8z0+KiDYUL92JvhdCFPPKbL8A2qyVw3YFEN+FyRvFGA==" saltValue="9q1zOOdQ4Vl2t7SYndjofA==" spinCount="100000" sheet="1" objects="1" scenarios="1"/>
  <mergeCells count="5">
    <mergeCell ref="A68:V68"/>
    <mergeCell ref="A93:V93"/>
    <mergeCell ref="A48:V48"/>
    <mergeCell ref="A114:V114"/>
    <mergeCell ref="A137:V137"/>
  </mergeCells>
  <phoneticPr fontId="7" type="noConversion"/>
  <pageMargins left="0.7" right="0.7" top="0.75" bottom="0.75" header="0.3" footer="0.3"/>
  <pageSetup orientation="portrait" horizontalDpi="4294967293" verticalDpi="0" r:id="rId1"/>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69F5242-D151-4C44-AF7C-5D046361AB7E}">
  <sheetPr>
    <tabColor theme="9"/>
  </sheetPr>
  <dimension ref="B1:AJ59"/>
  <sheetViews>
    <sheetView showGridLines="0" zoomScale="70" zoomScaleNormal="70" zoomScaleSheetLayoutView="115" zoomScalePageLayoutView="70" workbookViewId="0">
      <selection activeCell="C8" sqref="C8:I8"/>
    </sheetView>
  </sheetViews>
  <sheetFormatPr defaultRowHeight="15"/>
  <cols>
    <col min="1" max="1" width="3.7109375" style="9" customWidth="1"/>
    <col min="2" max="2" width="34.85546875" style="84" customWidth="1"/>
    <col min="3" max="3" width="13" style="84" customWidth="1"/>
    <col min="4" max="7" width="9.140625" style="84"/>
    <col min="8" max="8" width="9.140625" style="9"/>
    <col min="9" max="9" width="30.140625" style="9" customWidth="1"/>
    <col min="10" max="10" width="3.7109375" style="9" customWidth="1"/>
    <col min="11" max="11" width="4.85546875" style="9" customWidth="1"/>
    <col min="12" max="12" width="17.85546875" style="26" customWidth="1"/>
    <col min="13" max="13" width="9.140625" style="26"/>
    <col min="14" max="16384" width="9.140625" style="9"/>
  </cols>
  <sheetData>
    <row r="1" spans="2:36" ht="21">
      <c r="B1" s="99" t="s">
        <v>358</v>
      </c>
    </row>
    <row r="2" spans="2:36">
      <c r="B2" s="48" t="s">
        <v>465</v>
      </c>
    </row>
    <row r="3" spans="2:36">
      <c r="B3" s="48" t="s">
        <v>466</v>
      </c>
    </row>
    <row r="4" spans="2:36">
      <c r="B4" s="48" t="s">
        <v>467</v>
      </c>
    </row>
    <row r="5" spans="2:36">
      <c r="B5" s="48" t="s">
        <v>468</v>
      </c>
    </row>
    <row r="7" spans="2:36">
      <c r="B7" s="10" t="s">
        <v>329</v>
      </c>
      <c r="C7" s="9"/>
      <c r="D7" s="9"/>
      <c r="E7" s="9"/>
      <c r="F7" s="9"/>
      <c r="G7" s="9"/>
    </row>
    <row r="8" spans="2:36">
      <c r="B8" s="14" t="s">
        <v>357</v>
      </c>
      <c r="C8" s="219" t="str">
        <f>IF('HEC-18 Bridge Scour'!C7="","",'HEC-18 Bridge Scour'!C7)</f>
        <v>Onslow Bridge</v>
      </c>
      <c r="D8" s="219"/>
      <c r="E8" s="219"/>
      <c r="F8" s="219"/>
      <c r="G8" s="219"/>
      <c r="H8" s="219"/>
      <c r="I8" s="219"/>
    </row>
    <row r="9" spans="2:36" ht="15.75" thickBot="1">
      <c r="B9" s="41" t="s">
        <v>8</v>
      </c>
      <c r="C9" s="220" t="str">
        <f>IF('HEC-18 Bridge Scour'!C8="","",'HEC-18 Bridge Scour'!C8)</f>
        <v>New Onslow Bridge</v>
      </c>
      <c r="D9" s="220"/>
      <c r="E9" s="220"/>
      <c r="F9" s="220"/>
      <c r="G9" s="220"/>
      <c r="H9" s="220"/>
      <c r="I9" s="220"/>
    </row>
    <row r="10" spans="2:36">
      <c r="B10" s="213" t="s">
        <v>365</v>
      </c>
      <c r="C10" s="214"/>
      <c r="D10" s="214"/>
      <c r="E10" s="214"/>
      <c r="F10" s="214"/>
      <c r="G10" s="214"/>
      <c r="H10" s="214"/>
      <c r="I10" s="215"/>
    </row>
    <row r="11" spans="2:36">
      <c r="B11" s="37" t="s">
        <v>359</v>
      </c>
      <c r="C11" s="108"/>
      <c r="D11" s="17" t="s">
        <v>43</v>
      </c>
      <c r="E11" s="172" t="s">
        <v>360</v>
      </c>
      <c r="F11" s="173"/>
      <c r="G11" s="173"/>
      <c r="H11" s="173"/>
      <c r="I11" s="174"/>
    </row>
    <row r="12" spans="2:36">
      <c r="B12" s="14" t="s">
        <v>361</v>
      </c>
      <c r="C12" s="108"/>
      <c r="D12" s="15" t="s">
        <v>364</v>
      </c>
      <c r="E12" s="81" t="s">
        <v>362</v>
      </c>
      <c r="F12" s="82"/>
      <c r="G12" s="82"/>
      <c r="H12" s="82"/>
      <c r="I12" s="83"/>
    </row>
    <row r="13" spans="2:36">
      <c r="B13" s="14" t="s">
        <v>368</v>
      </c>
      <c r="C13" s="108"/>
      <c r="D13" s="15" t="s">
        <v>364</v>
      </c>
      <c r="E13" s="81" t="s">
        <v>369</v>
      </c>
      <c r="F13" s="82"/>
      <c r="G13" s="82"/>
      <c r="H13" s="82"/>
      <c r="I13" s="83"/>
      <c r="M13" s="9"/>
    </row>
    <row r="14" spans="2:36">
      <c r="B14" s="14" t="s">
        <v>363</v>
      </c>
      <c r="C14" s="108"/>
      <c r="D14" s="15" t="s">
        <v>10</v>
      </c>
      <c r="E14" s="81" t="s">
        <v>445</v>
      </c>
      <c r="F14" s="82"/>
      <c r="G14" s="82"/>
      <c r="H14" s="82"/>
      <c r="I14" s="83"/>
      <c r="M14" s="9"/>
      <c r="AJ14" s="100"/>
    </row>
    <row r="15" spans="2:36">
      <c r="B15" s="14" t="s">
        <v>371</v>
      </c>
      <c r="C15" s="108"/>
      <c r="D15" s="15" t="s">
        <v>10</v>
      </c>
      <c r="E15" s="81" t="s">
        <v>373</v>
      </c>
      <c r="F15" s="82"/>
      <c r="G15" s="82"/>
      <c r="H15" s="82"/>
      <c r="I15" s="83"/>
      <c r="M15" s="9"/>
      <c r="AJ15" s="100"/>
    </row>
    <row r="16" spans="2:36">
      <c r="B16" s="14" t="s">
        <v>370</v>
      </c>
      <c r="C16" s="108"/>
      <c r="D16" s="15" t="s">
        <v>10</v>
      </c>
      <c r="E16" s="81" t="s">
        <v>372</v>
      </c>
      <c r="F16" s="82"/>
      <c r="G16" s="82"/>
      <c r="H16" s="82"/>
      <c r="I16" s="83"/>
      <c r="M16" s="9"/>
      <c r="AJ16" s="100" t="s">
        <v>380</v>
      </c>
    </row>
    <row r="17" spans="2:36">
      <c r="B17" s="216" t="s">
        <v>377</v>
      </c>
      <c r="C17" s="217"/>
      <c r="D17" s="217"/>
      <c r="E17" s="217"/>
      <c r="F17" s="217"/>
      <c r="G17" s="217"/>
      <c r="H17" s="217"/>
      <c r="I17" s="218"/>
      <c r="M17" s="9"/>
      <c r="AJ17" s="100" t="s">
        <v>381</v>
      </c>
    </row>
    <row r="18" spans="2:36">
      <c r="B18" s="14" t="s">
        <v>378</v>
      </c>
      <c r="C18" s="109"/>
      <c r="D18" s="15" t="s">
        <v>5</v>
      </c>
      <c r="E18" s="180" t="s">
        <v>379</v>
      </c>
      <c r="F18" s="181"/>
      <c r="G18" s="181"/>
      <c r="H18" s="181"/>
      <c r="I18" s="182"/>
      <c r="M18" s="9"/>
      <c r="AJ18" s="100"/>
    </row>
    <row r="19" spans="2:36">
      <c r="B19" s="14" t="s">
        <v>366</v>
      </c>
      <c r="C19" s="109"/>
      <c r="D19" s="15" t="s">
        <v>10</v>
      </c>
      <c r="E19" s="180" t="s">
        <v>367</v>
      </c>
      <c r="F19" s="181"/>
      <c r="G19" s="181"/>
      <c r="H19" s="181"/>
      <c r="I19" s="182"/>
      <c r="M19" s="9"/>
      <c r="AJ19" s="100" t="s">
        <v>219</v>
      </c>
    </row>
    <row r="20" spans="2:36">
      <c r="B20" s="216" t="s">
        <v>416</v>
      </c>
      <c r="C20" s="217"/>
      <c r="D20" s="217"/>
      <c r="E20" s="217"/>
      <c r="F20" s="217"/>
      <c r="G20" s="217"/>
      <c r="H20" s="217"/>
      <c r="I20" s="218"/>
      <c r="M20" s="9"/>
      <c r="AJ20" s="100" t="s">
        <v>218</v>
      </c>
    </row>
    <row r="21" spans="2:36">
      <c r="B21" s="14" t="s">
        <v>378</v>
      </c>
      <c r="C21" s="109"/>
      <c r="D21" s="15" t="s">
        <v>5</v>
      </c>
      <c r="E21" s="180" t="s">
        <v>383</v>
      </c>
      <c r="F21" s="181"/>
      <c r="G21" s="181"/>
      <c r="H21" s="181"/>
      <c r="I21" s="182"/>
      <c r="M21" s="9"/>
      <c r="AJ21" s="100"/>
    </row>
    <row r="22" spans="2:36">
      <c r="B22" s="14" t="s">
        <v>403</v>
      </c>
      <c r="C22" s="109"/>
      <c r="D22" s="15" t="s">
        <v>5</v>
      </c>
      <c r="E22" s="81" t="s">
        <v>404</v>
      </c>
      <c r="F22" s="82"/>
      <c r="G22" s="82"/>
      <c r="H22" s="82"/>
      <c r="I22" s="83"/>
      <c r="M22" s="9"/>
      <c r="AJ22" s="100" t="s">
        <v>450</v>
      </c>
    </row>
    <row r="23" spans="2:36">
      <c r="B23" s="14" t="s">
        <v>382</v>
      </c>
      <c r="C23" s="109"/>
      <c r="D23" s="15" t="s">
        <v>10</v>
      </c>
      <c r="E23" s="81" t="s">
        <v>460</v>
      </c>
      <c r="F23" s="82"/>
      <c r="G23" s="82"/>
      <c r="H23" s="82"/>
      <c r="I23" s="83"/>
      <c r="M23" s="9"/>
      <c r="AJ23" s="100" t="s">
        <v>406</v>
      </c>
    </row>
    <row r="24" spans="2:36">
      <c r="B24" s="14" t="s">
        <v>366</v>
      </c>
      <c r="C24" s="109"/>
      <c r="D24" s="15" t="s">
        <v>10</v>
      </c>
      <c r="E24" s="180" t="s">
        <v>446</v>
      </c>
      <c r="F24" s="181"/>
      <c r="G24" s="181"/>
      <c r="H24" s="181"/>
      <c r="I24" s="182"/>
      <c r="M24" s="9"/>
      <c r="AJ24" s="100"/>
    </row>
    <row r="25" spans="2:36">
      <c r="B25" s="14" t="s">
        <v>415</v>
      </c>
      <c r="C25" s="109"/>
      <c r="D25" s="15" t="s">
        <v>5</v>
      </c>
      <c r="E25" s="81" t="s">
        <v>417</v>
      </c>
      <c r="F25" s="82"/>
      <c r="G25" s="82"/>
      <c r="H25" s="82"/>
      <c r="I25" s="83"/>
      <c r="AJ25" s="100"/>
    </row>
    <row r="26" spans="2:36">
      <c r="B26" s="14" t="s">
        <v>375</v>
      </c>
      <c r="C26" s="109"/>
      <c r="D26" s="15" t="s">
        <v>5</v>
      </c>
      <c r="E26" s="81" t="s">
        <v>418</v>
      </c>
      <c r="F26" s="82"/>
      <c r="G26" s="82"/>
      <c r="H26" s="82"/>
      <c r="I26" s="83"/>
    </row>
    <row r="27" spans="2:36">
      <c r="B27" s="14" t="s">
        <v>376</v>
      </c>
      <c r="C27" s="109"/>
      <c r="D27" s="15" t="s">
        <v>5</v>
      </c>
      <c r="E27" s="81" t="s">
        <v>419</v>
      </c>
      <c r="F27" s="82"/>
      <c r="G27" s="82"/>
      <c r="H27" s="82"/>
      <c r="I27" s="83"/>
    </row>
    <row r="28" spans="2:36">
      <c r="B28" s="216" t="s">
        <v>374</v>
      </c>
      <c r="C28" s="217"/>
      <c r="D28" s="217"/>
      <c r="E28" s="217"/>
      <c r="F28" s="217"/>
      <c r="G28" s="217"/>
      <c r="H28" s="217"/>
      <c r="I28" s="218"/>
    </row>
    <row r="29" spans="2:36">
      <c r="B29" s="14" t="s">
        <v>14</v>
      </c>
      <c r="C29" s="109"/>
      <c r="D29" s="15" t="s">
        <v>5</v>
      </c>
      <c r="E29" s="180" t="s">
        <v>449</v>
      </c>
      <c r="F29" s="181"/>
      <c r="G29" s="181"/>
      <c r="H29" s="181"/>
      <c r="I29" s="182"/>
    </row>
    <row r="30" spans="2:36">
      <c r="B30" s="14" t="s">
        <v>340</v>
      </c>
      <c r="C30" s="109"/>
      <c r="D30" s="15" t="s">
        <v>10</v>
      </c>
      <c r="E30" s="180" t="s">
        <v>443</v>
      </c>
      <c r="F30" s="181"/>
      <c r="G30" s="181"/>
      <c r="H30" s="181"/>
      <c r="I30" s="182"/>
    </row>
    <row r="31" spans="2:36">
      <c r="B31" s="14" t="s">
        <v>391</v>
      </c>
      <c r="C31" s="35" t="str">
        <f>IF(OR(C30="",C14=""),"",IF(C30&lt;C14/10,"Small", "Large"))</f>
        <v/>
      </c>
      <c r="D31" s="15" t="s">
        <v>5</v>
      </c>
      <c r="E31" s="180" t="s">
        <v>444</v>
      </c>
      <c r="F31" s="181"/>
      <c r="G31" s="181"/>
      <c r="H31" s="181"/>
      <c r="I31" s="182"/>
    </row>
    <row r="32" spans="2:36">
      <c r="B32" s="14"/>
      <c r="C32" s="109"/>
      <c r="D32" s="15"/>
      <c r="E32" s="175"/>
      <c r="F32" s="176"/>
      <c r="G32" s="176"/>
      <c r="H32" s="176"/>
      <c r="I32" s="177"/>
    </row>
    <row r="35" spans="2:7">
      <c r="B35" s="10" t="s">
        <v>106</v>
      </c>
    </row>
    <row r="36" spans="2:7">
      <c r="B36" s="189" t="str">
        <f>IF(C8="","",C8)</f>
        <v>Onslow Bridge</v>
      </c>
      <c r="C36" s="190"/>
      <c r="D36" s="191"/>
    </row>
    <row r="37" spans="2:7">
      <c r="B37" s="189" t="str">
        <f>IF(C9="","",C9)</f>
        <v>New Onslow Bridge</v>
      </c>
      <c r="C37" s="190"/>
      <c r="D37" s="191"/>
    </row>
    <row r="38" spans="2:7">
      <c r="B38" s="169" t="s">
        <v>387</v>
      </c>
      <c r="C38" s="169"/>
      <c r="D38" s="169"/>
    </row>
    <row r="39" spans="2:7">
      <c r="B39" s="68" t="s">
        <v>431</v>
      </c>
      <c r="C39" s="78" t="str">
        <f>IF(C18="","",C18)</f>
        <v/>
      </c>
      <c r="D39" s="69"/>
    </row>
    <row r="40" spans="2:7">
      <c r="B40" s="68" t="s">
        <v>256</v>
      </c>
      <c r="C40" s="80" t="str">
        <f>IF(OR(C18="",C15="",C19=""),"",IF(C39="Vertical",'Wave Induced'!C52,CONCATENATE("&lt; ",'Wave Induced'!C52)))</f>
        <v/>
      </c>
      <c r="D40" s="70" t="s">
        <v>10</v>
      </c>
    </row>
    <row r="41" spans="2:7">
      <c r="B41" s="169" t="s">
        <v>386</v>
      </c>
      <c r="C41" s="169"/>
      <c r="D41" s="169"/>
    </row>
    <row r="42" spans="2:7">
      <c r="B42" s="68" t="s">
        <v>432</v>
      </c>
      <c r="C42" s="78" t="str">
        <f>CONCATENATE(C21,IF(OR(C22="No",C22=""),"","Square"))</f>
        <v/>
      </c>
      <c r="D42" s="69"/>
    </row>
    <row r="43" spans="2:7">
      <c r="B43" s="68" t="s">
        <v>434</v>
      </c>
      <c r="C43" s="79" t="str">
        <f>IF(C42="","",IF(C42="Vertical",'Wave Induced'!C101,"N/A"))</f>
        <v/>
      </c>
      <c r="D43" s="70" t="s">
        <v>10</v>
      </c>
    </row>
    <row r="44" spans="2:7">
      <c r="B44" s="68" t="s">
        <v>435</v>
      </c>
      <c r="C44" s="79" t="str">
        <f>IF(C42="","",IF(C42="Vertical","N/A",'Wave Induced'!C104))</f>
        <v/>
      </c>
      <c r="D44" s="70" t="s">
        <v>10</v>
      </c>
    </row>
    <row r="45" spans="2:7">
      <c r="B45" s="68" t="s">
        <v>436</v>
      </c>
      <c r="C45" s="79" t="str">
        <f>IF(C42="","",IF(C42="Vertical","N/A",'Wave Induced'!C105))</f>
        <v/>
      </c>
      <c r="D45" s="70" t="s">
        <v>10</v>
      </c>
    </row>
    <row r="46" spans="2:7">
      <c r="B46" s="169" t="s">
        <v>388</v>
      </c>
      <c r="C46" s="169"/>
      <c r="D46" s="169"/>
    </row>
    <row r="47" spans="2:7">
      <c r="B47" s="68" t="s">
        <v>14</v>
      </c>
      <c r="C47" s="78" t="str">
        <f>IF(C29="","",C29)</f>
        <v/>
      </c>
      <c r="D47" s="70"/>
      <c r="E47" s="85"/>
      <c r="F47" s="85"/>
      <c r="G47" s="85"/>
    </row>
    <row r="48" spans="2:7">
      <c r="B48" s="68" t="s">
        <v>433</v>
      </c>
      <c r="C48" s="78" t="str">
        <f>IF(C31="","",C31)</f>
        <v/>
      </c>
      <c r="D48" s="70"/>
    </row>
    <row r="49" spans="2:13">
      <c r="B49" s="68" t="s">
        <v>256</v>
      </c>
      <c r="C49" s="79" t="str">
        <f>IF('Wave Induced Scour'!C31="","",IF(C31="Small",IF(C47="Circular",'Wave Induced'!C141,'Wave Induced'!C142),IF(C47="Circular",'Wave Induced'!C146,'Wave Induced'!C147)))</f>
        <v/>
      </c>
      <c r="D49" s="70" t="s">
        <v>10</v>
      </c>
    </row>
    <row r="51" spans="2:13">
      <c r="B51" s="67" t="s">
        <v>348</v>
      </c>
    </row>
    <row r="52" spans="2:13">
      <c r="B52" s="185" t="str">
        <f>IF(C8="","",C8)</f>
        <v>Onslow Bridge</v>
      </c>
      <c r="C52" s="186"/>
      <c r="D52" s="187"/>
    </row>
    <row r="53" spans="2:13">
      <c r="B53" s="185" t="str">
        <f>IF(C9="","",C9)</f>
        <v>New Onslow Bridge</v>
      </c>
      <c r="C53" s="186"/>
      <c r="D53" s="187"/>
    </row>
    <row r="54" spans="2:13">
      <c r="B54" s="188" t="s">
        <v>358</v>
      </c>
      <c r="C54" s="188"/>
      <c r="D54" s="188"/>
    </row>
    <row r="55" spans="2:13">
      <c r="B55" s="13" t="s">
        <v>384</v>
      </c>
      <c r="C55" s="111"/>
      <c r="D55" s="66" t="s">
        <v>10</v>
      </c>
    </row>
    <row r="56" spans="2:13">
      <c r="B56" s="13" t="s">
        <v>385</v>
      </c>
      <c r="C56" s="111"/>
      <c r="D56" s="66" t="s">
        <v>10</v>
      </c>
    </row>
    <row r="57" spans="2:13">
      <c r="B57" s="13" t="s">
        <v>389</v>
      </c>
      <c r="C57" s="111"/>
      <c r="D57" s="66" t="s">
        <v>10</v>
      </c>
      <c r="L57" s="9"/>
      <c r="M57" s="9"/>
    </row>
    <row r="58" spans="2:13">
      <c r="B58" s="212" t="s">
        <v>390</v>
      </c>
      <c r="C58" s="212"/>
      <c r="D58" s="212"/>
      <c r="E58" s="9"/>
      <c r="F58" s="9"/>
      <c r="G58" s="9"/>
      <c r="I58" s="26"/>
      <c r="L58" s="9"/>
      <c r="M58" s="9"/>
    </row>
    <row r="59" spans="2:13">
      <c r="B59" s="212"/>
      <c r="C59" s="212"/>
      <c r="D59" s="212"/>
      <c r="E59" s="9"/>
      <c r="F59" s="9"/>
      <c r="G59" s="9"/>
      <c r="I59" s="26"/>
    </row>
  </sheetData>
  <sheetProtection algorithmName="SHA-512" hashValue="QcYPVaRNQQMWI7lj7nm1ydSXTxBWgGRBwjD2g/7M7sslj9vRkQicBvEig3ZFnr0DqpeC8Ni2EO85PViRIpWh8g==" saltValue="bU9J/rAeL40m9Z2iFnapUA==" spinCount="100000" sheet="1" objects="1" scenarios="1" formatCells="0" selectLockedCells="1"/>
  <mergeCells count="24">
    <mergeCell ref="E31:I31"/>
    <mergeCell ref="E32:I32"/>
    <mergeCell ref="E24:I24"/>
    <mergeCell ref="E29:I29"/>
    <mergeCell ref="C8:I8"/>
    <mergeCell ref="C9:I9"/>
    <mergeCell ref="E11:I11"/>
    <mergeCell ref="E19:I19"/>
    <mergeCell ref="E30:I30"/>
    <mergeCell ref="B10:I10"/>
    <mergeCell ref="B17:I17"/>
    <mergeCell ref="B20:I20"/>
    <mergeCell ref="B28:I28"/>
    <mergeCell ref="E18:I18"/>
    <mergeCell ref="E21:I21"/>
    <mergeCell ref="B52:D52"/>
    <mergeCell ref="B53:D53"/>
    <mergeCell ref="B54:D54"/>
    <mergeCell ref="B58:D59"/>
    <mergeCell ref="B36:D36"/>
    <mergeCell ref="B37:D37"/>
    <mergeCell ref="B38:D38"/>
    <mergeCell ref="B41:D41"/>
    <mergeCell ref="B46:D46"/>
  </mergeCells>
  <dataValidations count="3">
    <dataValidation type="list" allowBlank="1" showInputMessage="1" showErrorMessage="1" sqref="C18 C21" xr:uid="{7496428C-C4A6-4D4C-925B-C9E41D1A830F}">
      <formula1>$AJ$15:$AJ$17</formula1>
    </dataValidation>
    <dataValidation type="list" allowBlank="1" showInputMessage="1" showErrorMessage="1" sqref="C22" xr:uid="{701B14ED-FA2A-40CA-9A51-3EB271B1B6CD}">
      <formula1>$AJ$18:$AJ$20</formula1>
    </dataValidation>
    <dataValidation type="list" allowBlank="1" showInputMessage="1" showErrorMessage="1" sqref="C29" xr:uid="{753A54E9-0FB0-4C9E-8822-D16799F284B7}">
      <formula1>$AJ$21:$AJ$23</formula1>
    </dataValidation>
  </dataValidations>
  <pageMargins left="0.7" right="0.7" top="0.75" bottom="0.75" header="0.3" footer="0.3"/>
  <pageSetup scale="62" orientation="portrait" horizontalDpi="4294967293" verticalDpi="0" r:id="rId1"/>
  <headerFooter>
    <oddFooter>&amp;LRef: EM 1110-2-1100 Part VI&amp;CWave Induced Scour Calculations&amp;RPage &amp;P</oddFooter>
  </headerFooter>
  <ignoredErrors>
    <ignoredError sqref="C8:C9" unlockedFormula="1"/>
  </ignoredErrors>
  <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77248BB-B55B-4E2F-B1FD-432CF901367E}">
  <sheetPr>
    <tabColor theme="5" tint="0.39997558519241921"/>
  </sheetPr>
  <dimension ref="A1:X156"/>
  <sheetViews>
    <sheetView zoomScale="85" zoomScaleNormal="85" workbookViewId="0">
      <selection activeCell="C110" sqref="C110"/>
    </sheetView>
  </sheetViews>
  <sheetFormatPr defaultRowHeight="15"/>
  <sheetData>
    <row r="1" spans="1:1" s="9" customFormat="1">
      <c r="A1" s="10" t="s">
        <v>392</v>
      </c>
    </row>
    <row r="2" spans="1:1" s="9" customFormat="1">
      <c r="A2" s="9" t="s">
        <v>393</v>
      </c>
    </row>
    <row r="39" spans="1:23" s="9" customFormat="1"/>
    <row r="43" spans="1:23">
      <c r="A43" s="192" t="s">
        <v>397</v>
      </c>
      <c r="B43" s="193"/>
      <c r="C43" s="193"/>
      <c r="D43" s="193"/>
      <c r="E43" s="193"/>
      <c r="F43" s="193"/>
      <c r="G43" s="193"/>
      <c r="H43" s="193"/>
      <c r="I43" s="193"/>
      <c r="J43" s="193"/>
      <c r="K43" s="193"/>
      <c r="L43" s="193"/>
      <c r="M43" s="193"/>
      <c r="N43" s="193"/>
      <c r="O43" s="193"/>
      <c r="P43" s="193"/>
      <c r="Q43" s="193"/>
      <c r="R43" s="193"/>
      <c r="S43" s="193"/>
      <c r="T43" s="193"/>
      <c r="U43" s="193"/>
      <c r="V43" s="194"/>
      <c r="W43" s="9"/>
    </row>
    <row r="45" spans="1:23">
      <c r="A45" t="s">
        <v>398</v>
      </c>
    </row>
    <row r="46" spans="1:23">
      <c r="A46" t="s">
        <v>399</v>
      </c>
    </row>
    <row r="48" spans="1:23">
      <c r="B48" s="11" t="s">
        <v>405</v>
      </c>
      <c r="C48">
        <f>'Wave Induced Scour'!C18</f>
        <v>0</v>
      </c>
    </row>
    <row r="49" spans="2:4">
      <c r="B49" s="11" t="s">
        <v>394</v>
      </c>
      <c r="C49" s="85">
        <f>'Wave Induced Scour'!C15</f>
        <v>0</v>
      </c>
      <c r="D49" t="s">
        <v>10</v>
      </c>
    </row>
    <row r="50" spans="2:4">
      <c r="B50" s="11" t="s">
        <v>395</v>
      </c>
      <c r="C50" s="85">
        <f>'Wave Induced Scour'!C19</f>
        <v>0</v>
      </c>
      <c r="D50" t="s">
        <v>10</v>
      </c>
    </row>
    <row r="51" spans="2:4">
      <c r="B51" s="11"/>
      <c r="C51" s="85"/>
    </row>
    <row r="52" spans="2:4">
      <c r="B52" s="11" t="s">
        <v>396</v>
      </c>
      <c r="C52" s="85">
        <f>MIN(C49:C50)</f>
        <v>0</v>
      </c>
      <c r="D52" t="s">
        <v>10</v>
      </c>
    </row>
    <row r="83" spans="1:24" s="9" customFormat="1">
      <c r="A83" s="192" t="s">
        <v>425</v>
      </c>
      <c r="B83" s="193"/>
      <c r="C83" s="193"/>
      <c r="D83" s="193"/>
      <c r="E83" s="193"/>
      <c r="F83" s="193"/>
      <c r="G83" s="193"/>
      <c r="H83" s="193"/>
      <c r="I83" s="193"/>
      <c r="J83" s="193"/>
      <c r="K83" s="193"/>
      <c r="L83" s="193"/>
      <c r="M83" s="193"/>
      <c r="N83" s="193"/>
      <c r="O83" s="193"/>
      <c r="P83" s="193"/>
      <c r="Q83" s="193"/>
      <c r="R83" s="193"/>
      <c r="S83" s="193"/>
      <c r="T83" s="193"/>
      <c r="U83" s="193"/>
      <c r="V83" s="194"/>
    </row>
    <row r="84" spans="1:24">
      <c r="X84" t="s">
        <v>486</v>
      </c>
    </row>
    <row r="85" spans="1:24">
      <c r="B85" s="11" t="s">
        <v>400</v>
      </c>
      <c r="C85">
        <f>'Wave Induced Scour'!C11</f>
        <v>0</v>
      </c>
      <c r="D85" t="s">
        <v>43</v>
      </c>
      <c r="X85" t="s">
        <v>484</v>
      </c>
    </row>
    <row r="86" spans="1:24">
      <c r="B86" s="11" t="s">
        <v>401</v>
      </c>
      <c r="C86">
        <f>'Wave Induced Scour'!C12</f>
        <v>0</v>
      </c>
      <c r="D86" t="s">
        <v>364</v>
      </c>
      <c r="X86" t="s">
        <v>487</v>
      </c>
    </row>
    <row r="87" spans="1:24">
      <c r="B87" s="11" t="s">
        <v>407</v>
      </c>
      <c r="C87">
        <f>'Wave Induced Scour'!C13</f>
        <v>0</v>
      </c>
      <c r="X87" t="s">
        <v>485</v>
      </c>
    </row>
    <row r="88" spans="1:24">
      <c r="B88" s="11" t="s">
        <v>402</v>
      </c>
      <c r="C88">
        <f>'Wave Induced Scour'!C23</f>
        <v>0</v>
      </c>
      <c r="D88" t="s">
        <v>10</v>
      </c>
      <c r="X88" t="s">
        <v>488</v>
      </c>
    </row>
    <row r="89" spans="1:24">
      <c r="B89" s="11" t="s">
        <v>410</v>
      </c>
      <c r="C89">
        <f>'Wave Induced Scour'!C15</f>
        <v>0</v>
      </c>
      <c r="D89" t="s">
        <v>10</v>
      </c>
      <c r="X89" t="s">
        <v>489</v>
      </c>
    </row>
    <row r="90" spans="1:24">
      <c r="B90" s="11" t="s">
        <v>411</v>
      </c>
      <c r="C90">
        <f>'Wave Induced Scour'!C16</f>
        <v>0</v>
      </c>
      <c r="D90" t="s">
        <v>10</v>
      </c>
      <c r="X90" t="s">
        <v>490</v>
      </c>
    </row>
    <row r="91" spans="1:24">
      <c r="B91" s="11" t="s">
        <v>395</v>
      </c>
      <c r="C91">
        <f>'Wave Induced Scour'!C24</f>
        <v>0</v>
      </c>
      <c r="D91" t="s">
        <v>10</v>
      </c>
    </row>
    <row r="92" spans="1:24">
      <c r="B92" s="11" t="s">
        <v>405</v>
      </c>
      <c r="C92">
        <f>'Wave Induced Scour'!C21</f>
        <v>0</v>
      </c>
    </row>
    <row r="93" spans="1:24">
      <c r="B93" s="11" t="s">
        <v>406</v>
      </c>
      <c r="C93">
        <f>'Wave Induced Scour'!C22</f>
        <v>0</v>
      </c>
    </row>
    <row r="94" spans="1:24">
      <c r="B94" s="11" t="s">
        <v>420</v>
      </c>
      <c r="C94">
        <f>'Wave Induced Scour'!C25</f>
        <v>0</v>
      </c>
      <c r="D94" s="9" t="s">
        <v>5</v>
      </c>
    </row>
    <row r="95" spans="1:24">
      <c r="B95" s="11" t="s">
        <v>408</v>
      </c>
      <c r="C95" s="9">
        <f>'Wave Induced Scour'!C26</f>
        <v>0</v>
      </c>
      <c r="D95" t="s">
        <v>5</v>
      </c>
    </row>
    <row r="96" spans="1:24">
      <c r="B96" s="11" t="s">
        <v>409</v>
      </c>
      <c r="C96" s="9">
        <f>'Wave Induced Scour'!C27</f>
        <v>0</v>
      </c>
      <c r="D96" t="s">
        <v>5</v>
      </c>
    </row>
    <row r="98" spans="2:4">
      <c r="B98" s="11" t="s">
        <v>412</v>
      </c>
      <c r="C98" t="e">
        <f>C85*C86/C88</f>
        <v>#DIV/0!</v>
      </c>
    </row>
    <row r="99" spans="2:4">
      <c r="B99" s="11" t="s">
        <v>413</v>
      </c>
      <c r="C99" t="e">
        <f>IF(C87=0,C98,C85*C87/C88)</f>
        <v>#DIV/0!</v>
      </c>
    </row>
    <row r="101" spans="2:4">
      <c r="B101" s="11" t="s">
        <v>414</v>
      </c>
      <c r="C101" t="e">
        <f>IF((0.5*C94*(1-EXP(-0.175*(C98-1))))&lt;0.024, 0.024*C88,C88*(0.5*C94*(1-EXP(-0.175*(C98-1)))))</f>
        <v>#DIV/0!</v>
      </c>
    </row>
    <row r="102" spans="2:4">
      <c r="B102" s="11" t="s">
        <v>423</v>
      </c>
      <c r="C102" t="e">
        <f>C88*(-0.09+0.123*C98)</f>
        <v>#DIV/0!</v>
      </c>
      <c r="D102" t="s">
        <v>421</v>
      </c>
    </row>
    <row r="104" spans="2:4">
      <c r="B104" s="11" t="s">
        <v>422</v>
      </c>
      <c r="C104" t="e">
        <f>C88*(0.04*C95*(1-EXP(-4*(C99-0.05))))</f>
        <v>#DIV/0!</v>
      </c>
    </row>
    <row r="105" spans="2:4">
      <c r="B105" s="11" t="s">
        <v>424</v>
      </c>
      <c r="C105" t="e">
        <f>C90*(0.01*C96*(C87*SQRT(32.2*C90)/C91)^(3/2))</f>
        <v>#DIV/0!</v>
      </c>
    </row>
    <row r="131" spans="1:22">
      <c r="A131" s="192" t="s">
        <v>388</v>
      </c>
      <c r="B131" s="193"/>
      <c r="C131" s="193"/>
      <c r="D131" s="193"/>
      <c r="E131" s="193"/>
      <c r="F131" s="193"/>
      <c r="G131" s="193"/>
      <c r="H131" s="193"/>
      <c r="I131" s="193"/>
      <c r="J131" s="193"/>
      <c r="K131" s="193"/>
      <c r="L131" s="193"/>
      <c r="M131" s="193"/>
      <c r="N131" s="193"/>
      <c r="O131" s="193"/>
      <c r="P131" s="193"/>
      <c r="Q131" s="193"/>
      <c r="R131" s="193"/>
      <c r="S131" s="193"/>
      <c r="T131" s="193"/>
      <c r="U131" s="193"/>
      <c r="V131" s="194"/>
    </row>
    <row r="133" spans="1:22">
      <c r="B133" s="11" t="s">
        <v>400</v>
      </c>
      <c r="C133" s="9">
        <f>'Wave Induced Scour'!C11</f>
        <v>0</v>
      </c>
      <c r="D133" s="9" t="s">
        <v>43</v>
      </c>
    </row>
    <row r="134" spans="1:22">
      <c r="B134" s="11" t="s">
        <v>401</v>
      </c>
      <c r="C134" s="9">
        <f>'Wave Induced Scour'!C12</f>
        <v>0</v>
      </c>
      <c r="D134" s="9" t="s">
        <v>364</v>
      </c>
    </row>
    <row r="135" spans="1:22">
      <c r="B135" s="11" t="s">
        <v>426</v>
      </c>
      <c r="C135" s="9">
        <f>'Wave Induced Scour'!C30</f>
        <v>0</v>
      </c>
      <c r="D135" s="9" t="s">
        <v>10</v>
      </c>
    </row>
    <row r="137" spans="1:22">
      <c r="B137" s="11" t="s">
        <v>412</v>
      </c>
      <c r="C137" s="9" t="e">
        <f>C133*C134/C135</f>
        <v>#DIV/0!</v>
      </c>
      <c r="D137" s="9"/>
    </row>
    <row r="138" spans="1:22">
      <c r="B138" s="11"/>
      <c r="C138" s="9"/>
      <c r="D138" s="9"/>
    </row>
    <row r="139" spans="1:22">
      <c r="B139" s="88" t="s">
        <v>427</v>
      </c>
    </row>
    <row r="141" spans="1:22">
      <c r="B141" s="11" t="s">
        <v>430</v>
      </c>
      <c r="C141" s="29" t="e">
        <f>C135*1.3*(1-EXP(-0.03*(C137-6)))</f>
        <v>#DIV/0!</v>
      </c>
      <c r="D141" s="9" t="s">
        <v>10</v>
      </c>
      <c r="E141" s="9" t="s">
        <v>448</v>
      </c>
    </row>
    <row r="142" spans="1:22" s="9" customFormat="1">
      <c r="B142" s="11" t="s">
        <v>428</v>
      </c>
      <c r="C142" s="29">
        <f>2*C135</f>
        <v>0</v>
      </c>
      <c r="E142" s="9" t="s">
        <v>447</v>
      </c>
    </row>
    <row r="143" spans="1:22">
      <c r="B143" s="9"/>
      <c r="C143" s="9"/>
      <c r="D143" s="9"/>
    </row>
    <row r="144" spans="1:22">
      <c r="B144" s="86" t="s">
        <v>429</v>
      </c>
      <c r="D144" s="9"/>
    </row>
    <row r="146" spans="2:5">
      <c r="B146" s="11" t="s">
        <v>430</v>
      </c>
      <c r="C146" s="84">
        <f>0.06*C135</f>
        <v>0</v>
      </c>
      <c r="D146" t="s">
        <v>10</v>
      </c>
      <c r="E146" t="s">
        <v>448</v>
      </c>
    </row>
    <row r="147" spans="2:5">
      <c r="B147" s="11" t="s">
        <v>428</v>
      </c>
      <c r="C147" s="84">
        <f>0.18*C135</f>
        <v>0</v>
      </c>
      <c r="D147" s="9" t="s">
        <v>10</v>
      </c>
      <c r="E147" t="s">
        <v>447</v>
      </c>
    </row>
    <row r="156" spans="2:5">
      <c r="D156" s="87"/>
    </row>
  </sheetData>
  <sheetProtection algorithmName="SHA-512" hashValue="hE8Ybcj5tBkfqmNTIAbQ8JzZEUvbvaxMZEFX4o5c/zc3HNNfyuZ8aHvNP1WIRuzNO9/CxEBDwJMTGw+w2vrJLg==" saltValue="QssD31sEfHMfuqvrpP61ag==" spinCount="100000" sheet="1" objects="1" scenarios="1"/>
  <mergeCells count="3">
    <mergeCell ref="A43:V43"/>
    <mergeCell ref="A83:V83"/>
    <mergeCell ref="A131:V131"/>
  </mergeCells>
  <pageMargins left="0.7" right="0.7" top="0.75" bottom="0.75" header="0.3" footer="0.3"/>
  <pageSetup orientation="portrait" horizontalDpi="4294967293" verticalDpi="0" r:id="rId1"/>
  <drawing r:id="rId2"/>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9867A521-B271-4A50-B0A7-04F81801122D}">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11</vt:i4>
      </vt:variant>
      <vt:variant>
        <vt:lpstr>Named Ranges</vt:lpstr>
      </vt:variant>
      <vt:variant>
        <vt:i4>4</vt:i4>
      </vt:variant>
    </vt:vector>
  </HeadingPairs>
  <TitlesOfParts>
    <vt:vector size="15" baseType="lpstr">
      <vt:lpstr>COVER</vt:lpstr>
      <vt:lpstr>General Scour</vt:lpstr>
      <vt:lpstr>General</vt:lpstr>
      <vt:lpstr>HEC-18 Bridge Scour</vt:lpstr>
      <vt:lpstr>Contraction</vt:lpstr>
      <vt:lpstr>Abutment</vt:lpstr>
      <vt:lpstr>Pier</vt:lpstr>
      <vt:lpstr>NCHRP Abutment Scour</vt:lpstr>
      <vt:lpstr>Abutment NCHRP </vt:lpstr>
      <vt:lpstr>Wave Induced Scour</vt:lpstr>
      <vt:lpstr>Wave Induced</vt:lpstr>
      <vt:lpstr>'General Scour'!Print_Area</vt:lpstr>
      <vt:lpstr>'HEC-18 Bridge Scour'!Print_Area</vt:lpstr>
      <vt:lpstr>'NCHRP Abutment Scour'!Print_Area</vt:lpstr>
      <vt:lpstr>'Wave Induced Scour'!Print_Area</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McBroom, Mark</dc:creator>
  <cp:lastModifiedBy>Khalid, Arslaan</cp:lastModifiedBy>
  <cp:lastPrinted>2020-09-01T22:43:08Z</cp:lastPrinted>
  <dcterms:created xsi:type="dcterms:W3CDTF">2020-01-15T20:02:30Z</dcterms:created>
  <dcterms:modified xsi:type="dcterms:W3CDTF">2021-04-21T18:03:55Z</dcterms:modified>
</cp:coreProperties>
</file>