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alexva1fs1.bkr.mbakercorp.com\COASTAL\Projects\Maydell Drive Bridge Replacement\Wave_Loads\"/>
    </mc:Choice>
  </mc:AlternateContent>
  <xr:revisionPtr revIDLastSave="0" documentId="10_ncr:100000_{4F7A72A4-D996-41E5-945E-BD6E70C1C85C}" xr6:coauthVersionLast="31" xr6:coauthVersionMax="31" xr10:uidLastSave="{00000000-0000-0000-0000-000000000000}"/>
  <bookViews>
    <workbookView xWindow="0" yWindow="0" windowWidth="23040" windowHeight="9648" activeTab="1" xr2:uid="{00000000-000D-0000-FFFF-FFFF00000000}"/>
  </bookViews>
  <sheets>
    <sheet name="STWAVE_Run_Matrix" sheetId="1" r:id="rId1"/>
    <sheet name="WaveCurrentGirderAndAbove" sheetId="2" r:id="rId2"/>
    <sheet name="WaveCurrentGirderAndAbove_Repo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G14" i="2" l="1"/>
  <c r="F14" i="2"/>
  <c r="E14" i="2"/>
  <c r="D14" i="2"/>
  <c r="C14" i="2"/>
  <c r="B14" i="2"/>
  <c r="G32" i="2" l="1"/>
  <c r="E32" i="2"/>
  <c r="D27" i="2"/>
  <c r="B27" i="2"/>
  <c r="C32" i="2"/>
  <c r="F32" i="2"/>
  <c r="G27" i="2"/>
  <c r="F37" i="2" l="1"/>
  <c r="F21" i="2"/>
  <c r="F27" i="2"/>
  <c r="E21" i="2"/>
  <c r="E27" i="2"/>
  <c r="D32" i="2"/>
  <c r="G21" i="2"/>
  <c r="G37" i="2"/>
  <c r="E37" i="2"/>
  <c r="D37" i="2"/>
  <c r="D21" i="2"/>
  <c r="C37" i="2"/>
  <c r="C21" i="2"/>
  <c r="C27" i="2"/>
  <c r="B37" i="2"/>
  <c r="B21" i="2"/>
  <c r="B32" i="2"/>
  <c r="D34" i="3" l="1"/>
  <c r="D29" i="3"/>
  <c r="D21" i="3"/>
  <c r="B12" i="3"/>
  <c r="D15" i="3"/>
  <c r="E39" i="3"/>
  <c r="D33" i="3"/>
  <c r="D28" i="3"/>
  <c r="D20" i="3"/>
  <c r="D14" i="3"/>
  <c r="B5" i="3"/>
  <c r="B7" i="3" s="1"/>
  <c r="B4" i="3"/>
  <c r="B3" i="3"/>
  <c r="I2" i="3"/>
  <c r="H2" i="3"/>
  <c r="G2" i="3"/>
  <c r="F2" i="3"/>
  <c r="E2" i="3"/>
  <c r="D2" i="3"/>
  <c r="C2" i="3"/>
  <c r="D25" i="3" l="1"/>
  <c r="C25" i="3"/>
  <c r="E25" i="3"/>
  <c r="T21" i="1"/>
  <c r="K21" i="1" l="1"/>
  <c r="H21" i="1"/>
  <c r="J21" i="1" s="1"/>
  <c r="E21" i="1"/>
  <c r="F21" i="1" l="1"/>
  <c r="U21" i="1"/>
  <c r="C29" i="3"/>
  <c r="D39" i="3"/>
  <c r="C34" i="3"/>
  <c r="C28" i="3"/>
  <c r="C15" i="3"/>
  <c r="C21" i="3"/>
  <c r="C33" i="3"/>
  <c r="C20" i="3"/>
  <c r="C14" i="3"/>
  <c r="L21" i="1"/>
  <c r="S21" i="1"/>
  <c r="F34" i="3" l="1"/>
  <c r="F15" i="3"/>
  <c r="H15" i="3" s="1"/>
  <c r="F21" i="3"/>
  <c r="F33" i="3"/>
  <c r="F14" i="3"/>
  <c r="H14" i="3" s="1"/>
  <c r="F20" i="3"/>
  <c r="H20" i="3" s="1"/>
  <c r="I20" i="3" s="1"/>
  <c r="F29" i="3"/>
  <c r="G39" i="3"/>
  <c r="F28" i="3"/>
  <c r="B20" i="3"/>
  <c r="G20" i="3" s="1"/>
  <c r="B28" i="3"/>
  <c r="G28" i="3" s="1"/>
  <c r="B29" i="3"/>
  <c r="G29" i="3" s="1"/>
  <c r="C39" i="3"/>
  <c r="H39" i="3" s="1"/>
  <c r="I39" i="3" s="1"/>
  <c r="K39" i="3" s="1"/>
  <c r="B14" i="3"/>
  <c r="G14" i="3" s="1"/>
  <c r="B21" i="3"/>
  <c r="G21" i="3" s="1"/>
  <c r="B33" i="3"/>
  <c r="G33" i="3" s="1"/>
  <c r="B34" i="3"/>
  <c r="G34" i="3" s="1"/>
  <c r="B15" i="3"/>
  <c r="G15" i="3" s="1"/>
  <c r="H37" i="2"/>
  <c r="H21" i="2"/>
  <c r="H27" i="2"/>
  <c r="H14" i="2"/>
  <c r="H32" i="2"/>
  <c r="M21" i="1"/>
  <c r="N21" i="1" s="1"/>
  <c r="O21" i="1" s="1"/>
  <c r="P21" i="1" s="1"/>
  <c r="Q21" i="1" s="1"/>
  <c r="I14" i="3" l="1"/>
  <c r="P14" i="3"/>
  <c r="Q14" i="3" s="1"/>
  <c r="I15" i="3"/>
  <c r="P15" i="3"/>
  <c r="Q15" i="3" s="1"/>
  <c r="R21" i="1"/>
  <c r="E28" i="3"/>
  <c r="E14" i="3"/>
  <c r="E21" i="3"/>
  <c r="J21" i="3" s="1"/>
  <c r="E33" i="3"/>
  <c r="E20" i="3"/>
  <c r="J20" i="3" s="1"/>
  <c r="E29" i="3"/>
  <c r="E34" i="3"/>
  <c r="E15" i="3"/>
  <c r="F39" i="3"/>
  <c r="K21" i="2"/>
  <c r="K14" i="2"/>
  <c r="K20" i="3"/>
  <c r="M21" i="3"/>
  <c r="L21" i="3"/>
  <c r="N21" i="3" s="1"/>
  <c r="I14" i="2"/>
  <c r="N14" i="3"/>
  <c r="H21" i="3"/>
  <c r="I21" i="3" s="1"/>
  <c r="M20" i="3"/>
  <c r="L20" i="3"/>
  <c r="N20" i="3" s="1"/>
  <c r="B3" i="2"/>
  <c r="I2" i="2"/>
  <c r="H2" i="2"/>
  <c r="G2" i="2"/>
  <c r="F2" i="2"/>
  <c r="E2" i="2"/>
  <c r="D2" i="2"/>
  <c r="C2" i="2"/>
  <c r="B5" i="2"/>
  <c r="B7" i="2" s="1"/>
  <c r="B4" i="2"/>
  <c r="K15" i="3" l="1"/>
  <c r="L15" i="3" s="1"/>
  <c r="M15" i="3" s="1"/>
  <c r="J15" i="3"/>
  <c r="O15" i="3"/>
  <c r="L34" i="3"/>
  <c r="H34" i="3"/>
  <c r="N15" i="3"/>
  <c r="S15" i="3" s="1"/>
  <c r="T15" i="3" s="1"/>
  <c r="H29" i="3" s="1"/>
  <c r="K21" i="3"/>
  <c r="S14" i="3"/>
  <c r="K14" i="3"/>
  <c r="L14" i="3" s="1"/>
  <c r="J14" i="3"/>
  <c r="O14" i="3"/>
  <c r="L33" i="3"/>
  <c r="H33" i="3"/>
  <c r="I37" i="2"/>
  <c r="K37" i="2" s="1"/>
  <c r="D24" i="2"/>
  <c r="E24" i="2"/>
  <c r="C24" i="2"/>
  <c r="K13" i="1"/>
  <c r="K14" i="1"/>
  <c r="K15" i="1"/>
  <c r="K16" i="1"/>
  <c r="K17" i="1"/>
  <c r="K18" i="1"/>
  <c r="K19" i="1"/>
  <c r="K20" i="1"/>
  <c r="K12" i="1"/>
  <c r="J33" i="3" l="1"/>
  <c r="I33" i="3"/>
  <c r="I34" i="3"/>
  <c r="J34" i="3"/>
  <c r="N33" i="3"/>
  <c r="M33" i="3"/>
  <c r="O33" i="3" s="1"/>
  <c r="N34" i="3"/>
  <c r="M34" i="3"/>
  <c r="O34" i="3" s="1"/>
  <c r="M14" i="3"/>
  <c r="T14" i="3" s="1"/>
  <c r="H28" i="3" s="1"/>
  <c r="I32" i="2"/>
  <c r="M32" i="2"/>
  <c r="M21" i="2"/>
  <c r="I21" i="2"/>
  <c r="J21" i="2" s="1"/>
  <c r="L21" i="2" s="1"/>
  <c r="N21" i="2"/>
  <c r="P14" i="2"/>
  <c r="O14" i="2"/>
  <c r="L14" i="2"/>
  <c r="M14" i="2" s="1"/>
  <c r="K34" i="3" l="1"/>
  <c r="P34" i="3" s="1"/>
  <c r="Q34" i="3" s="1"/>
  <c r="K33" i="3"/>
  <c r="P33" i="3" s="1"/>
  <c r="Q33" i="3" s="1"/>
  <c r="O21" i="2"/>
  <c r="J14" i="2"/>
  <c r="Q14" i="2"/>
  <c r="R14" i="2" s="1"/>
  <c r="T14" i="2" s="1"/>
  <c r="O32" i="2"/>
  <c r="N32" i="2"/>
  <c r="N14" i="2"/>
  <c r="K32" i="2"/>
  <c r="J32" i="2"/>
  <c r="U14" i="2" l="1"/>
  <c r="I27" i="2" s="1"/>
  <c r="P32" i="2"/>
  <c r="L32" i="2"/>
  <c r="Q32" i="2" l="1"/>
  <c r="R32" i="2" s="1"/>
  <c r="J16" i="1"/>
  <c r="E13" i="1"/>
  <c r="F13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12" i="1"/>
  <c r="F12" i="1" s="1"/>
  <c r="H13" i="1"/>
  <c r="J13" i="1" s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J20" i="1" s="1"/>
  <c r="H12" i="1"/>
  <c r="J12" i="1" s="1"/>
  <c r="S20" i="1" l="1"/>
  <c r="L12" i="1"/>
  <c r="S19" i="1"/>
  <c r="L20" i="1"/>
  <c r="S18" i="1"/>
  <c r="L19" i="1"/>
  <c r="S17" i="1"/>
  <c r="L18" i="1"/>
  <c r="L17" i="1"/>
  <c r="L16" i="1"/>
  <c r="S12" i="1"/>
  <c r="S13" i="1"/>
  <c r="L13" i="1"/>
  <c r="L15" i="1"/>
  <c r="S16" i="1"/>
  <c r="S15" i="1"/>
  <c r="S14" i="1"/>
  <c r="D14" i="1"/>
  <c r="E14" i="1" s="1"/>
  <c r="F14" i="1" s="1"/>
  <c r="C3" i="1"/>
  <c r="C4" i="1"/>
  <c r="C5" i="1"/>
  <c r="C6" i="1"/>
  <c r="C7" i="1"/>
  <c r="C2" i="1"/>
  <c r="B8" i="1"/>
  <c r="C8" i="1" s="1"/>
  <c r="B7" i="1"/>
  <c r="M13" i="1" l="1"/>
  <c r="N13" i="1" s="1"/>
  <c r="O13" i="1" s="1"/>
  <c r="P13" i="1" s="1"/>
  <c r="Q13" i="1" s="1"/>
  <c r="R13" i="1" s="1"/>
  <c r="M16" i="1"/>
  <c r="N16" i="1" s="1"/>
  <c r="O16" i="1" s="1"/>
  <c r="P16" i="1" s="1"/>
  <c r="Q16" i="1" s="1"/>
  <c r="R16" i="1" s="1"/>
  <c r="M19" i="1"/>
  <c r="N19" i="1" s="1"/>
  <c r="O19" i="1" s="1"/>
  <c r="P19" i="1" s="1"/>
  <c r="Q19" i="1" s="1"/>
  <c r="R19" i="1" s="1"/>
  <c r="M17" i="1"/>
  <c r="N17" i="1" s="1"/>
  <c r="O17" i="1" s="1"/>
  <c r="P17" i="1" s="1"/>
  <c r="Q17" i="1" s="1"/>
  <c r="R17" i="1" s="1"/>
  <c r="M12" i="1"/>
  <c r="N12" i="1" s="1"/>
  <c r="O12" i="1" s="1"/>
  <c r="P12" i="1" s="1"/>
  <c r="Q12" i="1" s="1"/>
  <c r="R12" i="1" s="1"/>
  <c r="L14" i="1"/>
  <c r="M18" i="1"/>
  <c r="N18" i="1" s="1"/>
  <c r="O18" i="1" s="1"/>
  <c r="P18" i="1" s="1"/>
  <c r="Q18" i="1" s="1"/>
  <c r="R18" i="1" s="1"/>
  <c r="M15" i="1"/>
  <c r="N15" i="1" s="1"/>
  <c r="O15" i="1" s="1"/>
  <c r="P15" i="1" s="1"/>
  <c r="Q15" i="1" s="1"/>
  <c r="R15" i="1" s="1"/>
  <c r="M20" i="1"/>
  <c r="N20" i="1" s="1"/>
  <c r="O20" i="1" s="1"/>
  <c r="P20" i="1" s="1"/>
  <c r="Q20" i="1" s="1"/>
  <c r="R20" i="1" s="1"/>
  <c r="M14" i="1" l="1"/>
  <c r="N14" i="1" s="1"/>
  <c r="O14" i="1" s="1"/>
  <c r="P14" i="1" s="1"/>
  <c r="Q14" i="1" s="1"/>
  <c r="R14" i="1" s="1"/>
</calcChain>
</file>

<file path=xl/sharedStrings.xml><?xml version="1.0" encoding="utf-8"?>
<sst xmlns="http://schemas.openxmlformats.org/spreadsheetml/2006/main" count="257" uniqueCount="119">
  <si>
    <t>MLW</t>
  </si>
  <si>
    <t>MLLW</t>
  </si>
  <si>
    <t>MHW</t>
  </si>
  <si>
    <t>MHHW</t>
  </si>
  <si>
    <t>DATUM</t>
  </si>
  <si>
    <t>Elevation (NAVD88 FT)</t>
  </si>
  <si>
    <t>NAVD88</t>
  </si>
  <si>
    <t xml:space="preserve">100-Yr </t>
  </si>
  <si>
    <t>500-Yr</t>
  </si>
  <si>
    <t>Elevation (NAVD88 m)</t>
  </si>
  <si>
    <t>Run Matrix</t>
  </si>
  <si>
    <t>RunID</t>
  </si>
  <si>
    <t>201805170100</t>
  </si>
  <si>
    <t>wspd (m/s)</t>
  </si>
  <si>
    <t>wdir (deg)</t>
  </si>
  <si>
    <t>201805170200</t>
  </si>
  <si>
    <t>201805170300</t>
  </si>
  <si>
    <t>201805170400</t>
  </si>
  <si>
    <t>201805170500</t>
  </si>
  <si>
    <t>201805170600</t>
  </si>
  <si>
    <t>201805170700</t>
  </si>
  <si>
    <t>201805170900</t>
  </si>
  <si>
    <t>201805170800</t>
  </si>
  <si>
    <t xml:space="preserve"> </t>
  </si>
  <si>
    <t>Tp (s)</t>
  </si>
  <si>
    <t>Hm0 (m)</t>
  </si>
  <si>
    <t>Hm0 (ft)</t>
  </si>
  <si>
    <t>TWL (m)</t>
  </si>
  <si>
    <t>TWL (ft)</t>
  </si>
  <si>
    <t>Hmax (ft)</t>
  </si>
  <si>
    <t>Const Water Level Adjustment (m)</t>
  </si>
  <si>
    <t>Hunt (1979) Dispersion Relationship</t>
  </si>
  <si>
    <t>d1</t>
  </si>
  <si>
    <t>d2</t>
  </si>
  <si>
    <t>d3</t>
  </si>
  <si>
    <t>d4</t>
  </si>
  <si>
    <t>d5</t>
  </si>
  <si>
    <t>d6</t>
  </si>
  <si>
    <t>g</t>
  </si>
  <si>
    <t>rhow</t>
  </si>
  <si>
    <t>wp (rad/s)</t>
  </si>
  <si>
    <t>Hunt (1979) yp</t>
  </si>
  <si>
    <t>Hunt (1979) Dispersion Denominator</t>
  </si>
  <si>
    <t>Hunt (1979) Kp*h</t>
  </si>
  <si>
    <t>Lp (ft)</t>
  </si>
  <si>
    <t>Hmax/Lp</t>
  </si>
  <si>
    <t>Lpnew (ft)</t>
  </si>
  <si>
    <t>b0</t>
  </si>
  <si>
    <t>b1</t>
  </si>
  <si>
    <t>b2</t>
  </si>
  <si>
    <t>b3</t>
  </si>
  <si>
    <t>b4</t>
  </si>
  <si>
    <t>b5</t>
  </si>
  <si>
    <t>b6</t>
  </si>
  <si>
    <t>Hmax/Lpnew</t>
  </si>
  <si>
    <t>Gammaw (kip/ft3)</t>
  </si>
  <si>
    <t>Etamax (ft)</t>
  </si>
  <si>
    <t>dg(ft)</t>
  </si>
  <si>
    <t>db (ft)</t>
  </si>
  <si>
    <t>r (ft)</t>
  </si>
  <si>
    <t>Lambda (ft)</t>
  </si>
  <si>
    <t>ds (ft)</t>
  </si>
  <si>
    <t>zc (ft)</t>
  </si>
  <si>
    <t>depth_navd (ft)</t>
  </si>
  <si>
    <t>W (ft)</t>
  </si>
  <si>
    <t>Etamax(ft)</t>
  </si>
  <si>
    <t>x</t>
  </si>
  <si>
    <t>W bar(ft)</t>
  </si>
  <si>
    <t>y</t>
  </si>
  <si>
    <t>Beta</t>
  </si>
  <si>
    <t>Etamax-zc</t>
  </si>
  <si>
    <t xml:space="preserve"> Wbar_corr(ft)</t>
  </si>
  <si>
    <t>Aair</t>
  </si>
  <si>
    <t>Bair</t>
  </si>
  <si>
    <t>%Aair_Fact</t>
  </si>
  <si>
    <t>%Airmin</t>
  </si>
  <si>
    <t>%Airmax</t>
  </si>
  <si>
    <t>TAF</t>
  </si>
  <si>
    <t>FV-MAX (Kip/ft)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</si>
  <si>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</si>
  <si>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</si>
  <si>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</si>
  <si>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</si>
  <si>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</si>
  <si>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</si>
  <si>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</si>
  <si>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</si>
  <si>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</si>
  <si>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FH-av(kip/ft)</t>
  </si>
  <si>
    <t>A</t>
  </si>
  <si>
    <t>B</t>
  </si>
  <si>
    <t>Fs kip/ft</t>
  </si>
  <si>
    <t>am</t>
  </si>
  <si>
    <t>bm</t>
  </si>
  <si>
    <t>cm</t>
  </si>
  <si>
    <t>W' (ft)</t>
  </si>
  <si>
    <t>W*(ft)</t>
  </si>
  <si>
    <t>Mt-av (kip/ft)</t>
  </si>
  <si>
    <t>w</t>
  </si>
  <si>
    <t>Fhmax*</t>
  </si>
  <si>
    <t>Fhmax (kip/ft)</t>
  </si>
  <si>
    <t>Exp_coeff</t>
  </si>
  <si>
    <t>alpha</t>
  </si>
  <si>
    <t>Fvah*</t>
  </si>
  <si>
    <t>exp_coeff</t>
  </si>
  <si>
    <t>Fvah (kip/ft)</t>
  </si>
  <si>
    <t>Mtah (kip/ft)</t>
  </si>
  <si>
    <t>Mtah*</t>
  </si>
  <si>
    <t>rhow (slugs/ft3)</t>
  </si>
  <si>
    <t>Cd</t>
  </si>
  <si>
    <t>Current Loads on Superstructure</t>
  </si>
  <si>
    <t>A (ft2/ft)</t>
  </si>
  <si>
    <t>100 year currents used for scour (ft/s)</t>
  </si>
  <si>
    <t>Fhc (kip/ft)</t>
  </si>
  <si>
    <t>201805171000</t>
  </si>
  <si>
    <t>Mid Span Low Chord Elevation (ft NAVD88)</t>
  </si>
  <si>
    <t>Hm0/g*tp^2</t>
  </si>
  <si>
    <t>d/gT^2</t>
  </si>
  <si>
    <t>Value pending finalization of scour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</si>
</sst>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ill="1"/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/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zoomScale="80" zoomScaleNormal="80" workbookViewId="0">
      <selection activeCell="P16" sqref="P16"/>
    </sheetView>
  </sheetViews>
  <sheetFormatPr defaultRowHeight="14.4" x14ac:dyDescent="0.3"/>
  <cols>
    <col min="1" max="1" width="25.109375" customWidth="1"/>
    <col min="2" max="2" width="17.109375" customWidth="1"/>
    <col min="3" max="3" width="12.33203125" customWidth="1"/>
    <col min="4" max="4" width="21" style="10" customWidth="1"/>
    <col min="5" max="6" width="9.44140625" style="10" customWidth="1"/>
    <col min="7" max="7" width="8.88671875" style="10"/>
    <col min="8" max="8" width="8.88671875" style="9"/>
    <col min="9" max="9" width="8.88671875" style="10"/>
    <col min="10" max="10" width="8.88671875" style="11"/>
    <col min="11" max="11" width="10.21875" customWidth="1"/>
    <col min="12" max="12" width="15.5546875" customWidth="1"/>
    <col min="13" max="13" width="14.33203125" customWidth="1"/>
    <col min="14" max="14" width="16.77734375" customWidth="1"/>
  </cols>
  <sheetData>
    <row r="1" spans="1:21" s="3" customFormat="1" ht="28.8" x14ac:dyDescent="0.3">
      <c r="A1" s="2" t="s">
        <v>4</v>
      </c>
      <c r="B1" s="2" t="s">
        <v>5</v>
      </c>
      <c r="C1" s="2" t="s">
        <v>9</v>
      </c>
      <c r="H1" s="7"/>
      <c r="J1" s="7"/>
    </row>
    <row r="2" spans="1:21" x14ac:dyDescent="0.3">
      <c r="A2" s="1" t="s">
        <v>1</v>
      </c>
      <c r="B2" s="4">
        <v>-0.85</v>
      </c>
      <c r="C2" s="4">
        <f>B2*0.3048</f>
        <v>-0.25908000000000003</v>
      </c>
    </row>
    <row r="3" spans="1:21" x14ac:dyDescent="0.3">
      <c r="A3" s="1" t="s">
        <v>0</v>
      </c>
      <c r="B3" s="4">
        <v>-0.34</v>
      </c>
      <c r="C3" s="4">
        <f t="shared" ref="C3:C8" si="0">B3*0.3048</f>
        <v>-0.10363200000000002</v>
      </c>
    </row>
    <row r="4" spans="1:21" x14ac:dyDescent="0.3">
      <c r="A4" s="1" t="s">
        <v>6</v>
      </c>
      <c r="B4" s="4">
        <v>0</v>
      </c>
      <c r="C4" s="4">
        <f t="shared" si="0"/>
        <v>0</v>
      </c>
    </row>
    <row r="5" spans="1:21" x14ac:dyDescent="0.3">
      <c r="A5" s="1" t="s">
        <v>2</v>
      </c>
      <c r="B5" s="4">
        <v>1.65</v>
      </c>
      <c r="C5" s="4">
        <f t="shared" si="0"/>
        <v>0.50292000000000003</v>
      </c>
    </row>
    <row r="6" spans="1:21" x14ac:dyDescent="0.3">
      <c r="A6" s="1" t="s">
        <v>3</v>
      </c>
      <c r="B6" s="4">
        <v>2.0099999999999998</v>
      </c>
      <c r="C6" s="4">
        <f t="shared" si="0"/>
        <v>0.61264799999999997</v>
      </c>
    </row>
    <row r="7" spans="1:21" x14ac:dyDescent="0.3">
      <c r="A7" s="1" t="s">
        <v>7</v>
      </c>
      <c r="B7" s="4">
        <f>10</f>
        <v>10</v>
      </c>
      <c r="C7" s="4">
        <f t="shared" si="0"/>
        <v>3.048</v>
      </c>
      <c r="F7" s="10" t="s">
        <v>23</v>
      </c>
      <c r="G7" s="10" t="s">
        <v>23</v>
      </c>
    </row>
    <row r="8" spans="1:21" x14ac:dyDescent="0.3">
      <c r="A8" s="1" t="s">
        <v>8</v>
      </c>
      <c r="B8" s="4">
        <f>13</f>
        <v>13</v>
      </c>
      <c r="C8" s="4">
        <f t="shared" si="0"/>
        <v>3.9624000000000001</v>
      </c>
    </row>
    <row r="10" spans="1:21" x14ac:dyDescent="0.3">
      <c r="A10" t="s">
        <v>10</v>
      </c>
    </row>
    <row r="11" spans="1:21" ht="43.2" x14ac:dyDescent="0.3">
      <c r="A11" s="13" t="s">
        <v>11</v>
      </c>
      <c r="B11" s="13" t="s">
        <v>13</v>
      </c>
      <c r="C11" s="13" t="s">
        <v>14</v>
      </c>
      <c r="D11" s="3" t="s">
        <v>30</v>
      </c>
      <c r="E11" s="13" t="s">
        <v>27</v>
      </c>
      <c r="F11" s="13" t="s">
        <v>28</v>
      </c>
      <c r="G11" s="13" t="s">
        <v>25</v>
      </c>
      <c r="H11" s="9" t="s">
        <v>26</v>
      </c>
      <c r="I11" s="13" t="s">
        <v>24</v>
      </c>
      <c r="J11" s="9" t="s">
        <v>29</v>
      </c>
      <c r="K11" s="13" t="s">
        <v>40</v>
      </c>
      <c r="L11" s="9" t="s">
        <v>41</v>
      </c>
      <c r="M11" s="3" t="s">
        <v>42</v>
      </c>
      <c r="N11" s="12" t="s">
        <v>43</v>
      </c>
      <c r="O11" t="s">
        <v>44</v>
      </c>
      <c r="P11" t="s">
        <v>45</v>
      </c>
      <c r="Q11" t="s">
        <v>46</v>
      </c>
      <c r="R11" s="17" t="s">
        <v>54</v>
      </c>
      <c r="S11" t="s">
        <v>56</v>
      </c>
      <c r="T11" t="s">
        <v>116</v>
      </c>
      <c r="U11" t="s">
        <v>117</v>
      </c>
    </row>
    <row r="12" spans="1:21" s="24" customFormat="1" x14ac:dyDescent="0.3">
      <c r="A12" s="32" t="s">
        <v>12</v>
      </c>
      <c r="B12" s="33">
        <v>34.1</v>
      </c>
      <c r="C12" s="33">
        <v>0</v>
      </c>
      <c r="D12" s="33">
        <v>0</v>
      </c>
      <c r="E12" s="14">
        <f>5.5+D12</f>
        <v>5.5</v>
      </c>
      <c r="F12" s="14">
        <f>3.28*E12</f>
        <v>18.04</v>
      </c>
      <c r="G12" s="33">
        <v>0.46</v>
      </c>
      <c r="H12" s="34">
        <f>3.28*G12</f>
        <v>1.5087999999999999</v>
      </c>
      <c r="I12" s="33">
        <v>3.65</v>
      </c>
      <c r="J12" s="14">
        <f>1.8*H12</f>
        <v>2.71584</v>
      </c>
      <c r="K12" s="24">
        <f>2*PI()/I12</f>
        <v>1.7214206321039962</v>
      </c>
      <c r="L12" s="35">
        <f>K12^2*F12/$B$30</f>
        <v>1.6615196564650065</v>
      </c>
      <c r="M12" s="24">
        <f>1+$B$24*L12+$B$25*(L12^2)+$B$26*(L12^3)+$B$27*(L12^4)+$B$28*(L12^5)+$B$29*(L12^6)</f>
        <v>4.7218391933893757</v>
      </c>
      <c r="N12" s="24">
        <f>SQRT(L12^2+L12/M12)</f>
        <v>1.7642356225447373</v>
      </c>
      <c r="O12" s="24">
        <f>2*PI()*F12/N12</f>
        <v>64.248029851038481</v>
      </c>
      <c r="P12" s="24">
        <f>J12/O12</f>
        <v>4.2271179463351315E-2</v>
      </c>
      <c r="Q12" s="24">
        <f>IF(P12&gt;0.035,O12,J12/0.035)</f>
        <v>64.248029851038481</v>
      </c>
      <c r="R12" s="24">
        <f>J12/Q12</f>
        <v>4.2271179463351315E-2</v>
      </c>
      <c r="S12" s="24">
        <f>0.7*J12</f>
        <v>1.9010879999999999</v>
      </c>
    </row>
    <row r="13" spans="1:21" s="24" customFormat="1" x14ac:dyDescent="0.3">
      <c r="A13" s="32" t="s">
        <v>15</v>
      </c>
      <c r="B13" s="33">
        <v>34.1</v>
      </c>
      <c r="C13" s="33">
        <v>0</v>
      </c>
      <c r="D13" s="33">
        <v>3.05</v>
      </c>
      <c r="E13" s="14">
        <f t="shared" ref="E13:E20" si="1">5.5+D13</f>
        <v>8.5500000000000007</v>
      </c>
      <c r="F13" s="14">
        <f t="shared" ref="F13:F20" si="2">3.28*E13</f>
        <v>28.044</v>
      </c>
      <c r="G13" s="33">
        <v>0.45</v>
      </c>
      <c r="H13" s="34">
        <f t="shared" ref="H13:H20" si="3">3.28*G13</f>
        <v>1.476</v>
      </c>
      <c r="I13" s="33">
        <v>4.5</v>
      </c>
      <c r="J13" s="14">
        <f t="shared" ref="J13:J20" si="4">1.8*H13</f>
        <v>2.6568000000000001</v>
      </c>
      <c r="K13" s="24">
        <f t="shared" ref="K13:K20" si="5">2*PI()/I13</f>
        <v>1.3962634015954636</v>
      </c>
      <c r="L13" s="35">
        <f t="shared" ref="L13:L20" si="6">K13^2*F13/$B$30</f>
        <v>1.6992982498660443</v>
      </c>
      <c r="M13" s="24">
        <f t="shared" ref="M13:M20" si="7">1+$B$24*L13+$B$25*(L13^2)+$B$26*(L13^3)+$B$27*(L13^4)+$B$28*(L13^5)+$B$29*(L13^6)</f>
        <v>4.9416256034964148</v>
      </c>
      <c r="N13" s="24">
        <f t="shared" ref="N13:N20" si="8">SQRT(L13^2+L13/M13)</f>
        <v>1.7976342462807922</v>
      </c>
      <c r="O13" s="24">
        <f t="shared" ref="O13:O20" si="9">2*PI()*F13/N13</f>
        <v>98.020856644839881</v>
      </c>
      <c r="P13" s="24">
        <f t="shared" ref="P13:P20" si="10">J13/O13</f>
        <v>2.7104435636860578E-2</v>
      </c>
      <c r="Q13" s="24">
        <f t="shared" ref="Q13:Q20" si="11">IF(P13&gt;0.035,O13,J13/0.035)</f>
        <v>75.90857142857142</v>
      </c>
      <c r="R13" s="24">
        <f t="shared" ref="R13:R20" si="12">J13/Q13</f>
        <v>3.5000000000000003E-2</v>
      </c>
      <c r="S13" s="24">
        <f t="shared" ref="S13:S20" si="13">0.7*J13</f>
        <v>1.8597599999999999</v>
      </c>
    </row>
    <row r="14" spans="1:21" s="24" customFormat="1" x14ac:dyDescent="0.3">
      <c r="A14" s="32" t="s">
        <v>16</v>
      </c>
      <c r="B14" s="33">
        <v>34.1</v>
      </c>
      <c r="C14" s="33">
        <v>0</v>
      </c>
      <c r="D14" s="33">
        <f>3.05+0.61</f>
        <v>3.6599999999999997</v>
      </c>
      <c r="E14" s="14">
        <f t="shared" si="1"/>
        <v>9.16</v>
      </c>
      <c r="F14" s="14">
        <f t="shared" si="2"/>
        <v>30.044799999999999</v>
      </c>
      <c r="G14" s="33">
        <v>0.52</v>
      </c>
      <c r="H14" s="34">
        <f t="shared" si="3"/>
        <v>1.7056</v>
      </c>
      <c r="I14" s="33">
        <v>4.4000000000000004</v>
      </c>
      <c r="J14" s="14">
        <f t="shared" si="4"/>
        <v>3.0700799999999999</v>
      </c>
      <c r="K14" s="24">
        <f t="shared" si="5"/>
        <v>1.4279966607226331</v>
      </c>
      <c r="L14" s="35">
        <f t="shared" si="6"/>
        <v>1.9042266708209639</v>
      </c>
      <c r="M14" s="24">
        <f t="shared" si="7"/>
        <v>6.3570122330499474</v>
      </c>
      <c r="N14" s="24">
        <f t="shared" si="8"/>
        <v>1.9813194197078372</v>
      </c>
      <c r="O14" s="24">
        <f t="shared" si="9"/>
        <v>95.278451338747814</v>
      </c>
      <c r="P14" s="24">
        <f t="shared" si="10"/>
        <v>3.2222186201209389E-2</v>
      </c>
      <c r="Q14" s="24">
        <f t="shared" si="11"/>
        <v>87.716571428571413</v>
      </c>
      <c r="R14" s="24">
        <f t="shared" si="12"/>
        <v>3.5000000000000003E-2</v>
      </c>
      <c r="S14" s="24">
        <f t="shared" si="13"/>
        <v>2.1490559999999999</v>
      </c>
    </row>
    <row r="15" spans="1:21" s="24" customFormat="1" x14ac:dyDescent="0.3">
      <c r="A15" s="32" t="s">
        <v>17</v>
      </c>
      <c r="B15" s="33">
        <v>34.1</v>
      </c>
      <c r="C15" s="33">
        <v>11.25</v>
      </c>
      <c r="D15" s="33">
        <v>0</v>
      </c>
      <c r="E15" s="14">
        <f t="shared" si="1"/>
        <v>5.5</v>
      </c>
      <c r="F15" s="14">
        <f t="shared" si="2"/>
        <v>18.04</v>
      </c>
      <c r="G15" s="33">
        <v>0.61</v>
      </c>
      <c r="H15" s="34">
        <f t="shared" si="3"/>
        <v>2.0007999999999999</v>
      </c>
      <c r="I15" s="33">
        <v>3.6</v>
      </c>
      <c r="J15" s="14">
        <f t="shared" si="4"/>
        <v>3.6014399999999998</v>
      </c>
      <c r="K15" s="24">
        <f t="shared" si="5"/>
        <v>1.7453292519943295</v>
      </c>
      <c r="L15" s="35">
        <f t="shared" si="6"/>
        <v>1.7079934894486926</v>
      </c>
      <c r="M15" s="24">
        <f t="shared" si="7"/>
        <v>4.9938702548301084</v>
      </c>
      <c r="N15" s="24">
        <f t="shared" si="8"/>
        <v>1.8053420048619166</v>
      </c>
      <c r="O15" s="24">
        <f t="shared" si="9"/>
        <v>62.785146878687577</v>
      </c>
      <c r="P15" s="24">
        <f t="shared" si="10"/>
        <v>5.7361337498479416E-2</v>
      </c>
      <c r="Q15" s="24">
        <f t="shared" si="11"/>
        <v>62.785146878687577</v>
      </c>
      <c r="R15" s="24">
        <f t="shared" si="12"/>
        <v>5.7361337498479416E-2</v>
      </c>
      <c r="S15" s="24">
        <f t="shared" si="13"/>
        <v>2.5210079999999997</v>
      </c>
    </row>
    <row r="16" spans="1:21" s="36" customFormat="1" x14ac:dyDescent="0.3">
      <c r="A16" s="37" t="s">
        <v>18</v>
      </c>
      <c r="B16" s="38">
        <v>34.1</v>
      </c>
      <c r="C16" s="38">
        <v>11.25</v>
      </c>
      <c r="D16" s="38">
        <v>3.05</v>
      </c>
      <c r="E16" s="39">
        <f t="shared" si="1"/>
        <v>8.5500000000000007</v>
      </c>
      <c r="F16" s="39">
        <f t="shared" si="2"/>
        <v>28.044</v>
      </c>
      <c r="G16" s="38">
        <v>0.54</v>
      </c>
      <c r="H16" s="40">
        <f t="shared" si="3"/>
        <v>1.7712000000000001</v>
      </c>
      <c r="I16" s="38">
        <v>3.9</v>
      </c>
      <c r="J16" s="39">
        <f t="shared" si="4"/>
        <v>3.1881600000000003</v>
      </c>
      <c r="K16" s="41">
        <f t="shared" si="5"/>
        <v>1.6110731556870734</v>
      </c>
      <c r="L16" s="42">
        <f t="shared" si="6"/>
        <v>2.2623793267447341</v>
      </c>
      <c r="M16" s="41">
        <f t="shared" si="7"/>
        <v>10.012999678533447</v>
      </c>
      <c r="N16" s="41">
        <f t="shared" si="8"/>
        <v>2.3117751686839232</v>
      </c>
      <c r="O16" s="41">
        <f t="shared" si="9"/>
        <v>76.220928030322654</v>
      </c>
      <c r="P16" s="41">
        <f t="shared" si="10"/>
        <v>4.1827882215389293E-2</v>
      </c>
      <c r="Q16" s="41">
        <f t="shared" si="11"/>
        <v>76.220928030322654</v>
      </c>
      <c r="R16" s="41">
        <f t="shared" si="12"/>
        <v>4.1827882215389293E-2</v>
      </c>
      <c r="S16" s="41">
        <f t="shared" si="13"/>
        <v>2.2317119999999999</v>
      </c>
    </row>
    <row r="17" spans="1:21" s="24" customFormat="1" x14ac:dyDescent="0.3">
      <c r="A17" s="32" t="s">
        <v>19</v>
      </c>
      <c r="B17" s="33">
        <v>34.1</v>
      </c>
      <c r="C17" s="33">
        <v>11.25</v>
      </c>
      <c r="D17" s="33">
        <v>3.66</v>
      </c>
      <c r="E17" s="14">
        <f t="shared" si="1"/>
        <v>9.16</v>
      </c>
      <c r="F17" s="14">
        <f t="shared" si="2"/>
        <v>30.044799999999999</v>
      </c>
      <c r="G17" s="33">
        <v>0.5</v>
      </c>
      <c r="H17" s="34">
        <f t="shared" si="3"/>
        <v>1.64</v>
      </c>
      <c r="I17" s="33">
        <v>4.4000000000000004</v>
      </c>
      <c r="J17" s="14">
        <f t="shared" si="4"/>
        <v>2.952</v>
      </c>
      <c r="K17" s="24">
        <f t="shared" si="5"/>
        <v>1.4279966607226331</v>
      </c>
      <c r="L17" s="35">
        <f t="shared" si="6"/>
        <v>1.9042266708209639</v>
      </c>
      <c r="M17" s="24">
        <f t="shared" si="7"/>
        <v>6.3570122330499474</v>
      </c>
      <c r="N17" s="24">
        <f t="shared" si="8"/>
        <v>1.9813194197078372</v>
      </c>
      <c r="O17" s="24">
        <f t="shared" si="9"/>
        <v>95.278451338747814</v>
      </c>
      <c r="P17" s="24">
        <f t="shared" si="10"/>
        <v>3.0982871347316719E-2</v>
      </c>
      <c r="Q17" s="24">
        <f t="shared" si="11"/>
        <v>84.342857142857127</v>
      </c>
      <c r="R17" s="24">
        <f t="shared" si="12"/>
        <v>3.5000000000000003E-2</v>
      </c>
      <c r="S17" s="24">
        <f t="shared" si="13"/>
        <v>2.0663999999999998</v>
      </c>
    </row>
    <row r="18" spans="1:21" s="24" customFormat="1" x14ac:dyDescent="0.3">
      <c r="A18" s="32" t="s">
        <v>20</v>
      </c>
      <c r="B18" s="33">
        <v>34.1</v>
      </c>
      <c r="C18" s="33">
        <v>-11.25</v>
      </c>
      <c r="D18" s="33">
        <v>0</v>
      </c>
      <c r="E18" s="14">
        <f t="shared" si="1"/>
        <v>5.5</v>
      </c>
      <c r="F18" s="14">
        <f t="shared" si="2"/>
        <v>18.04</v>
      </c>
      <c r="G18" s="33">
        <v>0.61</v>
      </c>
      <c r="H18" s="34">
        <f t="shared" si="3"/>
        <v>2.0007999999999999</v>
      </c>
      <c r="I18" s="33">
        <v>3.6</v>
      </c>
      <c r="J18" s="14">
        <f t="shared" si="4"/>
        <v>3.6014399999999998</v>
      </c>
      <c r="K18" s="24">
        <f t="shared" si="5"/>
        <v>1.7453292519943295</v>
      </c>
      <c r="L18" s="35">
        <f t="shared" si="6"/>
        <v>1.7079934894486926</v>
      </c>
      <c r="M18" s="24">
        <f t="shared" si="7"/>
        <v>4.9938702548301084</v>
      </c>
      <c r="N18" s="24">
        <f t="shared" si="8"/>
        <v>1.8053420048619166</v>
      </c>
      <c r="O18" s="24">
        <f t="shared" si="9"/>
        <v>62.785146878687577</v>
      </c>
      <c r="P18" s="24">
        <f t="shared" si="10"/>
        <v>5.7361337498479416E-2</v>
      </c>
      <c r="Q18" s="24">
        <f t="shared" si="11"/>
        <v>62.785146878687577</v>
      </c>
      <c r="R18" s="24">
        <f t="shared" si="12"/>
        <v>5.7361337498479416E-2</v>
      </c>
      <c r="S18" s="24">
        <f t="shared" si="13"/>
        <v>2.5210079999999997</v>
      </c>
    </row>
    <row r="19" spans="1:21" s="24" customFormat="1" x14ac:dyDescent="0.3">
      <c r="A19" s="32" t="s">
        <v>22</v>
      </c>
      <c r="B19" s="33">
        <v>34.1</v>
      </c>
      <c r="C19" s="33">
        <v>-11.25</v>
      </c>
      <c r="D19" s="33">
        <v>3.05</v>
      </c>
      <c r="E19" s="14">
        <f t="shared" si="1"/>
        <v>8.5500000000000007</v>
      </c>
      <c r="F19" s="14">
        <f t="shared" si="2"/>
        <v>28.044</v>
      </c>
      <c r="G19" s="33">
        <v>0.53</v>
      </c>
      <c r="H19" s="34">
        <f t="shared" si="3"/>
        <v>1.7383999999999999</v>
      </c>
      <c r="I19" s="33">
        <v>4</v>
      </c>
      <c r="J19" s="14">
        <f t="shared" si="4"/>
        <v>3.1291199999999999</v>
      </c>
      <c r="K19" s="24">
        <f t="shared" si="5"/>
        <v>1.5707963267948966</v>
      </c>
      <c r="L19" s="35">
        <f t="shared" si="6"/>
        <v>2.1506743474867123</v>
      </c>
      <c r="M19" s="24">
        <f t="shared" si="7"/>
        <v>8.6789725655843526</v>
      </c>
      <c r="N19" s="24">
        <f t="shared" si="8"/>
        <v>2.2075332439649036</v>
      </c>
      <c r="O19" s="24">
        <f t="shared" si="9"/>
        <v>79.820156383269264</v>
      </c>
      <c r="P19" s="24">
        <f t="shared" si="10"/>
        <v>3.9202128156389834E-2</v>
      </c>
      <c r="Q19" s="24">
        <f t="shared" si="11"/>
        <v>79.820156383269264</v>
      </c>
      <c r="R19" s="24">
        <f t="shared" si="12"/>
        <v>3.9202128156389834E-2</v>
      </c>
      <c r="S19" s="24">
        <f t="shared" si="13"/>
        <v>2.1903839999999999</v>
      </c>
    </row>
    <row r="20" spans="1:21" s="24" customFormat="1" x14ac:dyDescent="0.3">
      <c r="A20" s="32" t="s">
        <v>21</v>
      </c>
      <c r="B20" s="33">
        <v>34.1</v>
      </c>
      <c r="C20" s="33">
        <v>-11.25</v>
      </c>
      <c r="D20" s="33">
        <v>3.66</v>
      </c>
      <c r="E20" s="14">
        <f t="shared" si="1"/>
        <v>9.16</v>
      </c>
      <c r="F20" s="14">
        <f t="shared" si="2"/>
        <v>30.044799999999999</v>
      </c>
      <c r="G20" s="33">
        <v>0.5</v>
      </c>
      <c r="H20" s="34">
        <f t="shared" si="3"/>
        <v>1.64</v>
      </c>
      <c r="I20" s="33">
        <v>4.5</v>
      </c>
      <c r="J20" s="14">
        <f t="shared" si="4"/>
        <v>2.952</v>
      </c>
      <c r="K20" s="24">
        <f t="shared" si="5"/>
        <v>1.3962634015954636</v>
      </c>
      <c r="L20" s="35">
        <f t="shared" si="6"/>
        <v>1.8205347331898207</v>
      </c>
      <c r="M20" s="24">
        <f t="shared" si="7"/>
        <v>5.7301888811019168</v>
      </c>
      <c r="N20" s="24">
        <f t="shared" si="8"/>
        <v>1.9057953957988396</v>
      </c>
      <c r="O20" s="24">
        <f t="shared" si="9"/>
        <v>99.054203999701031</v>
      </c>
      <c r="P20" s="24">
        <f t="shared" si="10"/>
        <v>2.9801864845725376E-2</v>
      </c>
      <c r="Q20" s="24">
        <f t="shared" si="11"/>
        <v>84.342857142857127</v>
      </c>
      <c r="R20" s="24">
        <f t="shared" si="12"/>
        <v>3.5000000000000003E-2</v>
      </c>
      <c r="S20" s="24">
        <f t="shared" si="13"/>
        <v>2.0663999999999998</v>
      </c>
    </row>
    <row r="21" spans="1:21" s="24" customFormat="1" x14ac:dyDescent="0.3">
      <c r="A21" s="32" t="s">
        <v>114</v>
      </c>
      <c r="B21" s="33">
        <v>31.4</v>
      </c>
      <c r="C21" s="33">
        <v>0</v>
      </c>
      <c r="D21" s="33">
        <v>3.17</v>
      </c>
      <c r="E21" s="14">
        <f t="shared" ref="E21" si="14">5.5+D21</f>
        <v>8.67</v>
      </c>
      <c r="F21" s="14">
        <f t="shared" ref="F21" si="15">3.28*E21</f>
        <v>28.4376</v>
      </c>
      <c r="G21" s="33">
        <v>0.4</v>
      </c>
      <c r="H21" s="34">
        <f t="shared" ref="H21" si="16">3.28*G21</f>
        <v>1.3120000000000001</v>
      </c>
      <c r="I21" s="33">
        <v>4.0999999999999996</v>
      </c>
      <c r="J21" s="14">
        <f t="shared" ref="J21" si="17">1.8*H21</f>
        <v>2.3616000000000001</v>
      </c>
      <c r="K21" s="24">
        <f t="shared" ref="K21" si="18">2*PI()/I21</f>
        <v>1.5324842212633139</v>
      </c>
      <c r="L21" s="35">
        <f t="shared" ref="L21" si="19">K21^2*F21/$B$30</f>
        <v>2.0757732308000794</v>
      </c>
      <c r="M21" s="24">
        <f t="shared" ref="M21" si="20">1+$B$24*L21+$B$25*(L21^2)+$B$26*(L21^3)+$B$27*(L21^4)+$B$28*(L21^5)+$B$29*(L21^6)</f>
        <v>7.8897034871820022</v>
      </c>
      <c r="N21" s="24">
        <f t="shared" ref="N21" si="21">SQRT(L21^2+L21/M21)</f>
        <v>2.1382080166735196</v>
      </c>
      <c r="O21" s="24">
        <f t="shared" ref="O21" si="22">2*PI()*F21/N21</f>
        <v>83.56469955127497</v>
      </c>
      <c r="P21" s="24">
        <f t="shared" ref="P21" si="23">J21/O21</f>
        <v>2.8260737041852602E-2</v>
      </c>
      <c r="Q21" s="24">
        <f t="shared" ref="Q21" si="24">IF(P21&gt;0.035,O21,J21/0.035)</f>
        <v>67.474285714285713</v>
      </c>
      <c r="R21" s="24">
        <f t="shared" ref="R21" si="25">J21/Q21</f>
        <v>3.5000000000000003E-2</v>
      </c>
      <c r="S21" s="24">
        <f t="shared" ref="S21" si="26">0.7*J21</f>
        <v>1.6531199999999999</v>
      </c>
      <c r="T21" s="24">
        <f>G21/(9.81*I21^2)</f>
        <v>2.4256228241405259E-3</v>
      </c>
      <c r="U21" s="24">
        <f>E21/(9.81*I21^2)</f>
        <v>5.2575374713245901E-2</v>
      </c>
    </row>
    <row r="22" spans="1:21" x14ac:dyDescent="0.3">
      <c r="A22" s="5"/>
    </row>
    <row r="23" spans="1:21" ht="28.8" x14ac:dyDescent="0.3">
      <c r="A23" s="3" t="s">
        <v>31</v>
      </c>
      <c r="B23" s="13"/>
    </row>
    <row r="24" spans="1:21" x14ac:dyDescent="0.3">
      <c r="A24" s="13" t="s">
        <v>32</v>
      </c>
      <c r="B24" s="15">
        <v>0.66666666659999996</v>
      </c>
    </row>
    <row r="25" spans="1:21" x14ac:dyDescent="0.3">
      <c r="A25" s="13" t="s">
        <v>33</v>
      </c>
      <c r="B25" s="15">
        <v>0.35555555550000001</v>
      </c>
    </row>
    <row r="26" spans="1:21" x14ac:dyDescent="0.3">
      <c r="A26" s="13" t="s">
        <v>34</v>
      </c>
      <c r="B26" s="15">
        <v>0.16084656080000001</v>
      </c>
    </row>
    <row r="27" spans="1:21" x14ac:dyDescent="0.3">
      <c r="A27" s="13" t="s">
        <v>35</v>
      </c>
      <c r="B27" s="15">
        <v>6.3209876499999998E-2</v>
      </c>
    </row>
    <row r="28" spans="1:21" x14ac:dyDescent="0.3">
      <c r="A28" s="13" t="s">
        <v>36</v>
      </c>
      <c r="B28" s="15">
        <v>2.17540484E-2</v>
      </c>
    </row>
    <row r="29" spans="1:21" x14ac:dyDescent="0.3">
      <c r="A29" s="13" t="s">
        <v>37</v>
      </c>
      <c r="B29" s="15">
        <v>6.5407983000000001E-3</v>
      </c>
    </row>
    <row r="30" spans="1:21" x14ac:dyDescent="0.3">
      <c r="A30" s="13" t="s">
        <v>38</v>
      </c>
      <c r="B30" s="13">
        <v>32.173999999999999</v>
      </c>
    </row>
    <row r="31" spans="1:21" x14ac:dyDescent="0.3">
      <c r="A31" s="13" t="s">
        <v>39</v>
      </c>
      <c r="B31" s="13">
        <v>62.415999999999997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4.4" x14ac:dyDescent="0.3"/>
  <cols>
    <col min="1" max="1" width="35.88671875" style="13" customWidth="1"/>
    <col min="2" max="2" width="16.21875" style="13" customWidth="1"/>
    <col min="6" max="6" width="11.77734375" customWidth="1"/>
    <col min="7" max="7" width="10.109375" customWidth="1"/>
    <col min="9" max="9" width="11.77734375" customWidth="1"/>
    <col min="10" max="10" width="12.44140625" customWidth="1"/>
    <col min="12" max="12" width="13" customWidth="1"/>
    <col min="13" max="13" width="13.6640625" customWidth="1"/>
    <col min="14" max="14" width="8.88671875" customWidth="1"/>
    <col min="16" max="16" width="12.33203125" customWidth="1"/>
    <col min="17" max="17" width="10.77734375" customWidth="1"/>
    <col min="18" max="18" width="10.21875" customWidth="1"/>
    <col min="21" max="21" width="15.109375" customWidth="1"/>
  </cols>
  <sheetData>
    <row r="1" spans="1:23" x14ac:dyDescent="0.3"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23" x14ac:dyDescent="0.3">
      <c r="A2" s="13" t="s">
        <v>57</v>
      </c>
      <c r="B2" s="13">
        <v>3</v>
      </c>
      <c r="C2">
        <f>-0.1*$B$2-0.588</f>
        <v>-0.88800000000000001</v>
      </c>
      <c r="D2">
        <f>-0.18*$B$2+56.7</f>
        <v>56.160000000000004</v>
      </c>
      <c r="E2">
        <f>0.0028*$B$2+0.0454</f>
        <v>5.3800000000000001E-2</v>
      </c>
      <c r="F2">
        <f>0.2352*$B$2-193.6</f>
        <v>-192.89439999999999</v>
      </c>
      <c r="G2">
        <f>-0.00006*$B$2-0.0003</f>
        <v>-4.7999999999999996E-4</v>
      </c>
      <c r="H2">
        <f>0.184*$B$2-0.608</f>
        <v>-5.5999999999999939E-2</v>
      </c>
      <c r="I2">
        <f>2.1*$B$2+1.56</f>
        <v>7.8600000000000012</v>
      </c>
    </row>
    <row r="3" spans="1:23" x14ac:dyDescent="0.3">
      <c r="A3" s="13" t="s">
        <v>58</v>
      </c>
      <c r="B3" s="16">
        <f>B2+10.5/12</f>
        <v>3.875</v>
      </c>
      <c r="C3" s="18"/>
    </row>
    <row r="4" spans="1:23" x14ac:dyDescent="0.3">
      <c r="A4" s="13" t="s">
        <v>59</v>
      </c>
      <c r="B4" s="9">
        <f>36/12</f>
        <v>3</v>
      </c>
      <c r="C4" s="18"/>
    </row>
    <row r="5" spans="1:23" x14ac:dyDescent="0.3">
      <c r="A5" s="13" t="s">
        <v>64</v>
      </c>
      <c r="B5" s="23">
        <f>57+8/12</f>
        <v>57.666666666666664</v>
      </c>
      <c r="C5" s="18"/>
    </row>
    <row r="6" spans="1:23" x14ac:dyDescent="0.3">
      <c r="A6" s="13" t="s">
        <v>95</v>
      </c>
      <c r="B6" s="9">
        <v>0</v>
      </c>
      <c r="C6" s="18"/>
    </row>
    <row r="7" spans="1:23" x14ac:dyDescent="0.3">
      <c r="A7" s="13" t="s">
        <v>96</v>
      </c>
      <c r="B7" s="9">
        <f>B5-2*B6</f>
        <v>57.666666666666664</v>
      </c>
      <c r="C7" s="18"/>
      <c r="L7" t="s">
        <v>23</v>
      </c>
      <c r="W7" t="s">
        <v>23</v>
      </c>
    </row>
    <row r="8" spans="1:23" x14ac:dyDescent="0.3">
      <c r="A8" s="13" t="s">
        <v>55</v>
      </c>
      <c r="B8" s="13">
        <v>6.4000000000000001E-2</v>
      </c>
      <c r="C8" s="18"/>
      <c r="W8" t="s">
        <v>23</v>
      </c>
    </row>
    <row r="9" spans="1:23" x14ac:dyDescent="0.3">
      <c r="A9" s="13" t="s">
        <v>108</v>
      </c>
      <c r="B9" s="13">
        <v>2</v>
      </c>
      <c r="C9" s="18"/>
    </row>
    <row r="10" spans="1:23" x14ac:dyDescent="0.3">
      <c r="A10" s="13" t="s">
        <v>109</v>
      </c>
      <c r="B10" s="13">
        <v>2.5</v>
      </c>
      <c r="C10" s="18"/>
      <c r="W10" t="s">
        <v>23</v>
      </c>
    </row>
    <row r="11" spans="1:23" x14ac:dyDescent="0.3">
      <c r="A11" s="19" t="s">
        <v>63</v>
      </c>
      <c r="B11" s="25">
        <v>18.05</v>
      </c>
      <c r="C11" s="18"/>
    </row>
    <row r="12" spans="1:23" x14ac:dyDescent="0.3">
      <c r="A12" s="20" t="s">
        <v>115</v>
      </c>
      <c r="B12" s="22">
        <f>I12</f>
        <v>8.7100000000000009</v>
      </c>
      <c r="C12" s="19">
        <v>11.33</v>
      </c>
      <c r="D12" s="19">
        <v>13.76</v>
      </c>
      <c r="E12" s="19">
        <v>15.05</v>
      </c>
      <c r="F12" s="19">
        <v>15.18</v>
      </c>
      <c r="G12" s="19">
        <v>14.16</v>
      </c>
      <c r="H12" s="19">
        <v>11.99</v>
      </c>
      <c r="I12" s="19">
        <v>8.7100000000000009</v>
      </c>
    </row>
    <row r="13" spans="1:23" x14ac:dyDescent="0.3">
      <c r="B13" s="9"/>
      <c r="C13" t="s">
        <v>61</v>
      </c>
      <c r="D13" t="s">
        <v>29</v>
      </c>
      <c r="E13" t="s">
        <v>24</v>
      </c>
      <c r="F13" t="s">
        <v>60</v>
      </c>
      <c r="G13" t="s">
        <v>65</v>
      </c>
      <c r="H13" t="s">
        <v>62</v>
      </c>
      <c r="I13" t="s">
        <v>70</v>
      </c>
      <c r="J13" t="s">
        <v>69</v>
      </c>
      <c r="K13" t="s">
        <v>66</v>
      </c>
      <c r="L13" t="s">
        <v>67</v>
      </c>
      <c r="M13" t="s">
        <v>71</v>
      </c>
      <c r="N13" t="s">
        <v>68</v>
      </c>
      <c r="O13" t="s">
        <v>72</v>
      </c>
      <c r="P13" t="s">
        <v>73</v>
      </c>
      <c r="Q13" t="s">
        <v>74</v>
      </c>
      <c r="R13" t="s">
        <v>75</v>
      </c>
      <c r="S13" t="s">
        <v>76</v>
      </c>
      <c r="T13" t="s">
        <v>77</v>
      </c>
      <c r="U13" s="6" t="s">
        <v>78</v>
      </c>
    </row>
    <row r="14" spans="1:23" x14ac:dyDescent="0.3">
      <c r="B14" s="21" t="str">
        <f>STWAVE_Run_Matrix!$A$16</f>
        <v>201805170500</v>
      </c>
      <c r="C14">
        <f>STWAVE_Run_Matrix!$F$16</f>
        <v>28.044</v>
      </c>
      <c r="D14">
        <f>STWAVE_Run_Matrix!$J$16</f>
        <v>3.1881600000000003</v>
      </c>
      <c r="E14">
        <f>STWAVE_Run_Matrix!$I$16</f>
        <v>3.9</v>
      </c>
      <c r="F14">
        <f>STWAVE_Run_Matrix!$Q$16</f>
        <v>76.220928030322654</v>
      </c>
      <c r="G14">
        <f>STWAVE_Run_Matrix!$S$16</f>
        <v>2.2317119999999999</v>
      </c>
      <c r="H14" s="8">
        <f>$B$12-(C14-$B$11)</f>
        <v>-1.2839999999999989</v>
      </c>
      <c r="I14" s="8">
        <f t="shared" ref="I14" si="0">G14-H14</f>
        <v>3.5157119999999988</v>
      </c>
      <c r="J14" s="8">
        <f t="shared" ref="J14" si="1">IF(I14&lt;=0,0,IF(AND(I14&gt;0,I14&lt;=$B$3),I14/$B$3,IF(I14&gt;$B$3,1)))</f>
        <v>0.90728051612903193</v>
      </c>
      <c r="K14">
        <f t="shared" ref="K14" si="2">D14/F14</f>
        <v>4.1827882215389293E-2</v>
      </c>
      <c r="L14">
        <f t="shared" ref="L14" si="3">F14-F14*(H14+D14/2)/D14</f>
        <v>68.807691127644446</v>
      </c>
      <c r="M14">
        <f t="shared" ref="M14" si="4">IF(AND((L14/$B$5)&gt;0,(L14/$B$5)&lt;0.15),0.15*$B$5,IF(L14&gt;0,L14,0))</f>
        <v>68.807691127644446</v>
      </c>
      <c r="N14">
        <f t="shared" ref="N14" si="5">M14/F14</f>
        <v>0.90274013851249579</v>
      </c>
      <c r="O14">
        <f t="shared" ref="O14" si="6">0.0123-0.0045*EXP(-H14/G14)+0.0014*LN($B$5/F14)</f>
        <v>3.9096292459960017E-3</v>
      </c>
      <c r="P14">
        <f t="shared" ref="P14" si="7">EXP(-2.477+1.002*EXP(-H14/G14)-0.403*LN($B$5/F14))</f>
        <v>0.55806230897645082</v>
      </c>
      <c r="Q14">
        <f t="shared" ref="Q14" si="8">I14/$B$2</f>
        <v>1.1719039999999996</v>
      </c>
      <c r="R14">
        <f t="shared" ref="R14" si="9">IF(Q14&lt;=1,100*(1-Q14),0)</f>
        <v>0</v>
      </c>
      <c r="S14">
        <v>100</v>
      </c>
      <c r="T14">
        <f>MIN(O14*MAX(R14,S14)/100+P14,1)</f>
        <v>0.56197193822244684</v>
      </c>
      <c r="U14">
        <f t="shared" ref="U14" si="10">$B$8*M14*J14*(-1.3*D14/C14+1.8)*(1.35+0.35*TANH(1.2*E14-8.5))*($C$2+$D$2*K14+$E$2/N14+$F$2*(K14^2)+$G$2/(N14^2)+$H$2*K14/N14+$I$2*(K14^3))*T14</f>
        <v>4.3809910457490098</v>
      </c>
    </row>
    <row r="15" spans="1:23" x14ac:dyDescent="0.3">
      <c r="B15" s="21"/>
      <c r="H15" s="8"/>
      <c r="I15" s="8"/>
      <c r="J15" s="8"/>
    </row>
    <row r="16" spans="1:23" x14ac:dyDescent="0.3">
      <c r="B16" s="21"/>
      <c r="H16" s="8"/>
      <c r="I16" s="8"/>
      <c r="J16" s="8"/>
    </row>
    <row r="17" spans="2:18" x14ac:dyDescent="0.3">
      <c r="C17" t="s">
        <v>79</v>
      </c>
      <c r="D17" t="s">
        <v>80</v>
      </c>
      <c r="E17" t="s">
        <v>81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87</v>
      </c>
    </row>
    <row r="18" spans="2:18" x14ac:dyDescent="0.3">
      <c r="C18">
        <v>-9.3799999999999994E-2</v>
      </c>
      <c r="D18">
        <v>1.6196999999999999</v>
      </c>
      <c r="E18">
        <v>-1.4792000000000001</v>
      </c>
      <c r="F18">
        <v>0.53669999999999995</v>
      </c>
      <c r="G18">
        <v>-8.77E-2</v>
      </c>
      <c r="H18">
        <v>5.4000000000000003E-3</v>
      </c>
      <c r="I18">
        <v>1.9E-2</v>
      </c>
      <c r="J18">
        <v>0.60440000000000005</v>
      </c>
      <c r="K18">
        <v>-0.28299999999999997</v>
      </c>
    </row>
    <row r="20" spans="2:18" x14ac:dyDescent="0.3">
      <c r="C20" t="s">
        <v>61</v>
      </c>
      <c r="D20" t="s">
        <v>29</v>
      </c>
      <c r="E20" t="s">
        <v>24</v>
      </c>
      <c r="F20" t="s">
        <v>60</v>
      </c>
      <c r="G20" t="s">
        <v>65</v>
      </c>
      <c r="H20" t="s">
        <v>62</v>
      </c>
      <c r="I20" t="s">
        <v>70</v>
      </c>
      <c r="J20" t="s">
        <v>66</v>
      </c>
      <c r="K20" t="s">
        <v>68</v>
      </c>
      <c r="L20" s="6" t="s">
        <v>88</v>
      </c>
      <c r="M20" t="s">
        <v>89</v>
      </c>
      <c r="N20" t="s">
        <v>90</v>
      </c>
      <c r="O20" s="6" t="s">
        <v>91</v>
      </c>
    </row>
    <row r="21" spans="2:18" x14ac:dyDescent="0.3">
      <c r="B21" s="21" t="str">
        <f>$B$14</f>
        <v>201805170500</v>
      </c>
      <c r="C21">
        <f>$C$14</f>
        <v>28.044</v>
      </c>
      <c r="D21">
        <f>$D$14</f>
        <v>3.1881600000000003</v>
      </c>
      <c r="E21">
        <f>$E$14</f>
        <v>3.9</v>
      </c>
      <c r="F21">
        <f>$F$14</f>
        <v>76.220928030322654</v>
      </c>
      <c r="G21">
        <f>$G$14</f>
        <v>2.2317119999999999</v>
      </c>
      <c r="H21" s="8">
        <f>$B$12-(C21-$B$11)</f>
        <v>-1.2839999999999989</v>
      </c>
      <c r="I21" s="8">
        <f t="shared" ref="I21" si="11">G21-H21</f>
        <v>3.5157119999999988</v>
      </c>
      <c r="J21" s="8">
        <f t="shared" ref="J21" si="12">I21/($B$3+$B$4)</f>
        <v>0.51137629090909076</v>
      </c>
      <c r="K21">
        <f t="shared" ref="K21" si="13">D21/F21</f>
        <v>4.1827882215389293E-2</v>
      </c>
      <c r="L21">
        <f>$B$8*(D21^2)*($C$18+$D$18*J21+$E$18*(J21^2)+$F$18*(J21^3)+$G$18*(J21^4)+$H$18*(J21^5)+$I$18*LN(K21))*($J$18+$K$18*$B$5/F21)</f>
        <v>8.9702397878676579E-2</v>
      </c>
      <c r="M21">
        <f t="shared" ref="M21" si="14">IF(AND((H21/G21)&gt;=0,(H21/G21)&lt;1),0.0149*H21/G21+0.0316,IF((H21/G21)&lt;0,(-1562.9+1594.5*EXP(-(H21/G21)))^(-1)))</f>
        <v>7.8634472470623916E-4</v>
      </c>
      <c r="N21">
        <f t="shared" ref="N21" si="15">0.6588*((H21/G21)^2)+0.5368*H21/G21-1.193</f>
        <v>-1.2837684190589305</v>
      </c>
      <c r="O21">
        <f t="shared" ref="O21" si="16">M21*$B$8*(D21^2)*((D21/F21)^N21)</f>
        <v>3.0101749778352029E-2</v>
      </c>
    </row>
    <row r="23" spans="2:18" x14ac:dyDescent="0.3">
      <c r="C23" t="s">
        <v>92</v>
      </c>
      <c r="D23" t="s">
        <v>93</v>
      </c>
      <c r="E23" t="s">
        <v>94</v>
      </c>
    </row>
    <row r="24" spans="2:18" x14ac:dyDescent="0.3">
      <c r="C24">
        <f>-0.0125*($B$3+$B$4)+0.926</f>
        <v>0.84006250000000005</v>
      </c>
      <c r="D24">
        <f>0.00659*($B$3+$B$4)-0.0924</f>
        <v>-4.7093749999999997E-2</v>
      </c>
      <c r="E24">
        <f>-0.000234*($B$3+$B$4)-0.0031</f>
        <v>-4.7087499999999994E-3</v>
      </c>
    </row>
    <row r="26" spans="2:18" x14ac:dyDescent="0.3">
      <c r="C26" t="s">
        <v>61</v>
      </c>
      <c r="D26" t="s">
        <v>29</v>
      </c>
      <c r="E26" t="s">
        <v>24</v>
      </c>
      <c r="F26" t="s">
        <v>60</v>
      </c>
      <c r="G26" t="s">
        <v>65</v>
      </c>
      <c r="H26" t="s">
        <v>62</v>
      </c>
      <c r="I26" s="6" t="s">
        <v>97</v>
      </c>
    </row>
    <row r="27" spans="2:18" x14ac:dyDescent="0.3">
      <c r="B27" s="21" t="str">
        <f>$B$14</f>
        <v>201805170500</v>
      </c>
      <c r="C27">
        <f>$C$14</f>
        <v>28.044</v>
      </c>
      <c r="D27">
        <f>$D$14</f>
        <v>3.1881600000000003</v>
      </c>
      <c r="E27">
        <f>$E$14</f>
        <v>3.9</v>
      </c>
      <c r="F27">
        <f>$F$14</f>
        <v>76.220928030322654</v>
      </c>
      <c r="G27">
        <f>$G$14</f>
        <v>2.2317119999999999</v>
      </c>
      <c r="H27" s="8">
        <f>$B$12-(C27-$B$11)</f>
        <v>-1.2839999999999989</v>
      </c>
      <c r="I27" s="8">
        <f>(U14*$B$7+L21*($B$3+$B$4))*($C$24+$D$24*F27/$B$5+$E$24*F27/D27)+2*O21*$B$7/3</f>
        <v>169.63231940181907</v>
      </c>
    </row>
    <row r="31" spans="2:18" x14ac:dyDescent="0.3">
      <c r="C31" t="s">
        <v>61</v>
      </c>
      <c r="D31" t="s">
        <v>29</v>
      </c>
      <c r="E31" t="s">
        <v>24</v>
      </c>
      <c r="F31" t="s">
        <v>60</v>
      </c>
      <c r="G31" t="s">
        <v>65</v>
      </c>
      <c r="H31" t="s">
        <v>62</v>
      </c>
      <c r="I31" t="s">
        <v>98</v>
      </c>
      <c r="J31" t="s">
        <v>99</v>
      </c>
      <c r="K31" t="s">
        <v>101</v>
      </c>
      <c r="L31" s="6" t="s">
        <v>100</v>
      </c>
      <c r="M31" t="s">
        <v>102</v>
      </c>
      <c r="N31" t="s">
        <v>103</v>
      </c>
      <c r="O31" t="s">
        <v>104</v>
      </c>
      <c r="P31" s="6" t="s">
        <v>105</v>
      </c>
      <c r="Q31" s="24" t="s">
        <v>107</v>
      </c>
      <c r="R31" s="6" t="s">
        <v>106</v>
      </c>
    </row>
    <row r="32" spans="2:18" x14ac:dyDescent="0.3">
      <c r="B32" s="21" t="str">
        <f>$B$14</f>
        <v>201805170500</v>
      </c>
      <c r="C32">
        <f>$C$14</f>
        <v>28.044</v>
      </c>
      <c r="D32">
        <f>$D$14</f>
        <v>3.1881600000000003</v>
      </c>
      <c r="E32">
        <f>$E$14</f>
        <v>3.9</v>
      </c>
      <c r="F32">
        <f>$F$14</f>
        <v>76.220928030322654</v>
      </c>
      <c r="G32">
        <f>$G$14</f>
        <v>2.2317119999999999</v>
      </c>
      <c r="H32" s="8">
        <f>$B$12-(C32-$B$11)</f>
        <v>-1.2839999999999989</v>
      </c>
      <c r="I32">
        <f t="shared" ref="I32" si="17">IF(F32-0.5*(H32+0.5*D32)*(F32/D32)&lt;$B$5,F32-0.5*(H32+0.5*D32)*(F32/D32),$B$5)</f>
        <v>57.666666666666664</v>
      </c>
      <c r="J32">
        <f t="shared" ref="J32" si="18">$B$8*PI()*($B$3+$B$4)*(I32+0.5*D32)*D32/F32</f>
        <v>3.4263801447272058</v>
      </c>
      <c r="K32">
        <f t="shared" ref="K32" si="19">-3.18+3.76*EXP(-I32/F32)-0.95*((LN((G32-H32)/($B$3+$B$4)))^2)</f>
        <v>-1.8428194025881997</v>
      </c>
      <c r="L32">
        <f t="shared" ref="L32" si="20">J32*EXP(K32)</f>
        <v>0.54263680509001444</v>
      </c>
      <c r="M32">
        <f t="shared" ref="M32" si="21">IF((1/2.6)*(F32-(H32+0.5*D32)*(F32/D32))&lt;$B$5,(1/2.6)*(F32-(H32+0.5*D32)*(F32/D32)),$B$5)</f>
        <v>26.464496587555555</v>
      </c>
      <c r="N32">
        <f t="shared" ref="N32" si="22">$B$8*M32*(G32-H32)</f>
        <v>5.9546590865169975</v>
      </c>
      <c r="O32">
        <f t="shared" ref="O32" si="23">-0.3+2.04*EXP(-9.01*M32/F32)-0.16*(((G32-H32)/$B$3)^1.5)</f>
        <v>-0.34893908418255559</v>
      </c>
      <c r="P32">
        <f>N32*EXP(O32)*T14</f>
        <v>2.3606370201014246</v>
      </c>
      <c r="Q32">
        <f>L32*($B$3+$B$4)+2*(P32+O21)*$B$5/3</f>
        <v>95.641251854816389</v>
      </c>
      <c r="R32">
        <f t="shared" ref="R32" si="24">Q32*1.37*TANH($B$3/(G32-H32))</f>
        <v>104.99132326162213</v>
      </c>
    </row>
    <row r="34" spans="2:18" x14ac:dyDescent="0.3">
      <c r="C34" s="43" t="s">
        <v>110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6" spans="2:18" ht="57.6" x14ac:dyDescent="0.3">
      <c r="C36" t="s">
        <v>61</v>
      </c>
      <c r="D36" t="s">
        <v>29</v>
      </c>
      <c r="E36" t="s">
        <v>24</v>
      </c>
      <c r="F36" t="s">
        <v>60</v>
      </c>
      <c r="G36" t="s">
        <v>65</v>
      </c>
      <c r="H36" t="s">
        <v>62</v>
      </c>
      <c r="I36" t="s">
        <v>111</v>
      </c>
      <c r="J36" s="31" t="s">
        <v>112</v>
      </c>
      <c r="K36" t="s">
        <v>113</v>
      </c>
    </row>
    <row r="37" spans="2:18" x14ac:dyDescent="0.3">
      <c r="B37" s="21" t="str">
        <f>$B$14</f>
        <v>201805170500</v>
      </c>
      <c r="C37">
        <f>$C$14</f>
        <v>28.044</v>
      </c>
      <c r="D37">
        <f>$D$14</f>
        <v>3.1881600000000003</v>
      </c>
      <c r="E37">
        <f>$E$14</f>
        <v>3.9</v>
      </c>
      <c r="F37">
        <f>$F$14</f>
        <v>76.220928030322654</v>
      </c>
      <c r="G37">
        <f>$G$14</f>
        <v>2.2317119999999999</v>
      </c>
      <c r="H37" s="8">
        <f>$B$12-(C37-$B$11)</f>
        <v>-1.2839999999999989</v>
      </c>
      <c r="I37" s="8">
        <f>G37-H37</f>
        <v>3.5157119999999988</v>
      </c>
      <c r="J37" s="30">
        <v>7.9</v>
      </c>
      <c r="K37">
        <f>0.5*$B$10*$B$9*I37*J37^2/1000</f>
        <v>0.54853896479999986</v>
      </c>
      <c r="M37" t="s">
        <v>118</v>
      </c>
    </row>
  </sheetData>
  <mergeCells count="1">
    <mergeCell ref="C34:R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"/>
  <sheetViews>
    <sheetView zoomScale="70" zoomScaleNormal="70" zoomScalePageLayoutView="50" workbookViewId="0">
      <selection activeCell="C7" sqref="C7"/>
    </sheetView>
  </sheetViews>
  <sheetFormatPr defaultRowHeight="14.4" x14ac:dyDescent="0.3"/>
  <cols>
    <col min="1" max="1" width="26.88671875" style="13" customWidth="1"/>
    <col min="2" max="2" width="8.109375" style="13" customWidth="1"/>
    <col min="3" max="3" width="6.21875" customWidth="1"/>
    <col min="4" max="4" width="5.5546875" customWidth="1"/>
    <col min="5" max="5" width="8.109375" customWidth="1"/>
    <col min="6" max="6" width="8.5546875" customWidth="1"/>
    <col min="7" max="7" width="10.109375" customWidth="1"/>
    <col min="8" max="8" width="10" customWidth="1"/>
    <col min="9" max="9" width="11.77734375" customWidth="1"/>
    <col min="10" max="10" width="12.44140625" customWidth="1"/>
    <col min="11" max="11" width="8.88671875" customWidth="1"/>
    <col min="12" max="12" width="13" hidden="1" customWidth="1"/>
    <col min="13" max="13" width="13.6640625" hidden="1" customWidth="1"/>
    <col min="14" max="14" width="8.88671875" hidden="1" customWidth="1"/>
    <col min="15" max="15" width="8.88671875" customWidth="1"/>
    <col min="16" max="16" width="12.33203125" hidden="1" customWidth="1"/>
    <col min="17" max="17" width="10.77734375" customWidth="1"/>
    <col min="18" max="18" width="10.21875" customWidth="1"/>
    <col min="21" max="21" width="15.109375" customWidth="1"/>
  </cols>
  <sheetData>
    <row r="1" spans="1:23" x14ac:dyDescent="0.3"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23" x14ac:dyDescent="0.3">
      <c r="A2" s="13" t="s">
        <v>57</v>
      </c>
      <c r="B2" s="13">
        <v>3</v>
      </c>
      <c r="C2">
        <f>-0.1*$B$2-0.588</f>
        <v>-0.88800000000000001</v>
      </c>
      <c r="D2">
        <f>-0.18*$B$2+56.7</f>
        <v>56.160000000000004</v>
      </c>
      <c r="E2">
        <f>0.0028*$B$2+0.0454</f>
        <v>5.3800000000000001E-2</v>
      </c>
      <c r="F2">
        <f>0.2352*$B$2-193.6</f>
        <v>-192.89439999999999</v>
      </c>
      <c r="G2">
        <f>-0.00006*$B$2-0.0003</f>
        <v>-4.7999999999999996E-4</v>
      </c>
      <c r="H2">
        <f>0.184*$B$2-0.608</f>
        <v>-5.5999999999999939E-2</v>
      </c>
      <c r="I2">
        <f>2.1*$B$2+1.56</f>
        <v>7.8600000000000012</v>
      </c>
    </row>
    <row r="3" spans="1:23" x14ac:dyDescent="0.3">
      <c r="A3" s="13" t="s">
        <v>58</v>
      </c>
      <c r="B3" s="16">
        <f>B2+10.5/12</f>
        <v>3.875</v>
      </c>
      <c r="C3" s="18"/>
    </row>
    <row r="4" spans="1:23" x14ac:dyDescent="0.3">
      <c r="A4" s="13" t="s">
        <v>59</v>
      </c>
      <c r="B4" s="9">
        <f>36/12</f>
        <v>3</v>
      </c>
      <c r="C4" s="18"/>
    </row>
    <row r="5" spans="1:23" x14ac:dyDescent="0.3">
      <c r="A5" s="13" t="s">
        <v>64</v>
      </c>
      <c r="B5" s="9">
        <f>57+8/12</f>
        <v>57.666666666666664</v>
      </c>
      <c r="C5" s="18"/>
    </row>
    <row r="6" spans="1:23" x14ac:dyDescent="0.3">
      <c r="A6" s="13" t="s">
        <v>95</v>
      </c>
      <c r="B6" s="9">
        <v>0</v>
      </c>
      <c r="C6" s="18"/>
    </row>
    <row r="7" spans="1:23" x14ac:dyDescent="0.3">
      <c r="A7" s="13" t="s">
        <v>96</v>
      </c>
      <c r="B7" s="9">
        <f>B5-2*B6</f>
        <v>57.666666666666664</v>
      </c>
      <c r="C7" s="18"/>
      <c r="L7" t="s">
        <v>23</v>
      </c>
      <c r="W7" t="s">
        <v>23</v>
      </c>
    </row>
    <row r="8" spans="1:23" x14ac:dyDescent="0.3">
      <c r="A8" s="13" t="s">
        <v>55</v>
      </c>
      <c r="B8" s="13">
        <v>6.4000000000000001E-2</v>
      </c>
      <c r="C8" s="18"/>
      <c r="W8" t="s">
        <v>23</v>
      </c>
    </row>
    <row r="9" spans="1:23" x14ac:dyDescent="0.3">
      <c r="A9" s="13" t="s">
        <v>108</v>
      </c>
      <c r="B9" s="13">
        <v>2</v>
      </c>
      <c r="C9" s="18"/>
    </row>
    <row r="10" spans="1:23" x14ac:dyDescent="0.3">
      <c r="A10" s="13" t="s">
        <v>109</v>
      </c>
      <c r="B10" s="13">
        <v>2.5</v>
      </c>
      <c r="C10" s="18"/>
      <c r="W10" t="s">
        <v>23</v>
      </c>
    </row>
    <row r="11" spans="1:23" x14ac:dyDescent="0.3">
      <c r="A11" s="19" t="s">
        <v>63</v>
      </c>
      <c r="B11" s="25">
        <v>18.05</v>
      </c>
      <c r="C11" s="18"/>
    </row>
    <row r="12" spans="1:23" x14ac:dyDescent="0.3">
      <c r="A12" s="20" t="s">
        <v>115</v>
      </c>
      <c r="B12" s="22">
        <f>I12</f>
        <v>8.7100000000000009</v>
      </c>
      <c r="C12" s="19">
        <v>11.33</v>
      </c>
      <c r="D12" s="19">
        <v>13.76</v>
      </c>
      <c r="E12" s="19">
        <v>15.05</v>
      </c>
      <c r="F12" s="19">
        <v>15.18</v>
      </c>
      <c r="G12" s="19">
        <v>14.16</v>
      </c>
      <c r="H12" s="19">
        <v>11.99</v>
      </c>
      <c r="I12" s="19">
        <v>8.7100000000000009</v>
      </c>
    </row>
    <row r="13" spans="1:23" s="27" customFormat="1" ht="28.8" x14ac:dyDescent="0.3">
      <c r="A13" s="26" t="s">
        <v>115</v>
      </c>
      <c r="B13" s="27" t="s">
        <v>61</v>
      </c>
      <c r="C13" s="27" t="s">
        <v>29</v>
      </c>
      <c r="D13" s="27" t="s">
        <v>24</v>
      </c>
      <c r="E13" s="27" t="s">
        <v>60</v>
      </c>
      <c r="F13" s="27" t="s">
        <v>65</v>
      </c>
      <c r="G13" s="27" t="s">
        <v>62</v>
      </c>
      <c r="H13" s="27" t="s">
        <v>70</v>
      </c>
      <c r="I13" s="27" t="s">
        <v>69</v>
      </c>
      <c r="J13" s="27" t="s">
        <v>66</v>
      </c>
      <c r="K13" s="27" t="s">
        <v>67</v>
      </c>
      <c r="L13" s="27" t="s">
        <v>71</v>
      </c>
      <c r="M13" s="27" t="s">
        <v>68</v>
      </c>
      <c r="N13" s="27" t="s">
        <v>72</v>
      </c>
      <c r="O13" s="27" t="s">
        <v>73</v>
      </c>
      <c r="P13" s="27" t="s">
        <v>74</v>
      </c>
      <c r="Q13" s="27" t="s">
        <v>75</v>
      </c>
      <c r="R13" s="27" t="s">
        <v>76</v>
      </c>
      <c r="S13" s="27" t="s">
        <v>77</v>
      </c>
      <c r="T13" s="28" t="s">
        <v>78</v>
      </c>
    </row>
    <row r="14" spans="1:23" x14ac:dyDescent="0.3">
      <c r="A14" s="19">
        <v>11.33</v>
      </c>
      <c r="B14" s="8">
        <f>STWAVE_Run_Matrix!$F$21</f>
        <v>28.4376</v>
      </c>
      <c r="C14" s="8">
        <f>STWAVE_Run_Matrix!$J$21</f>
        <v>2.3616000000000001</v>
      </c>
      <c r="D14">
        <f>STWAVE_Run_Matrix!$I$21</f>
        <v>4.0999999999999996</v>
      </c>
      <c r="E14" s="29">
        <f>STWAVE_Run_Matrix!$Q$21</f>
        <v>67.474285714285713</v>
      </c>
      <c r="F14" s="8">
        <f>STWAVE_Run_Matrix!$S$21</f>
        <v>1.6531199999999999</v>
      </c>
      <c r="G14" s="8">
        <f>A14-(B14-$B$11)</f>
        <v>0.94240000000000101</v>
      </c>
      <c r="H14" s="8">
        <f t="shared" ref="H14" si="0">F14-G14</f>
        <v>0.71071999999999891</v>
      </c>
      <c r="I14" s="8">
        <f t="shared" ref="I14" si="1">IF(H14&lt;=0,0,IF(AND(H14&gt;0,H14&lt;=$B$3),H14/$B$3,IF(H14&gt;$B$3,1)))</f>
        <v>0.18341161290322552</v>
      </c>
      <c r="J14">
        <f t="shared" ref="J14" si="2">C14/E14</f>
        <v>3.5000000000000003E-2</v>
      </c>
      <c r="K14">
        <f t="shared" ref="K14" si="3">E14-E14*(G14+C14/2)/C14</f>
        <v>6.811428571428543</v>
      </c>
      <c r="L14">
        <f t="shared" ref="L14" si="4">IF(AND((K14/$B$5)&gt;0,(K14/$B$5)&lt;0.15),0.15*$B$5,IF(K14&gt;0,K14,0))</f>
        <v>8.6499999999999986</v>
      </c>
      <c r="M14">
        <f t="shared" ref="M14" si="5">L14/E14</f>
        <v>0.12819698509485092</v>
      </c>
      <c r="N14">
        <f t="shared" ref="N14" si="6">0.0123-0.0045*EXP(-G14/F14)+0.0014*LN($B$5/E14)</f>
        <v>9.5354285398771537E-3</v>
      </c>
      <c r="O14">
        <f t="shared" ref="O14" si="7">EXP(-2.477+1.002*EXP(-G14/F14)-0.403*LN($B$5/E14))</f>
        <v>0.15769585297189162</v>
      </c>
      <c r="P14">
        <f t="shared" ref="P14" si="8">H14/$B$2</f>
        <v>0.23690666666666629</v>
      </c>
      <c r="Q14">
        <f t="shared" ref="Q14" si="9">IF(P14&lt;=1,100*(1-P14),0)</f>
        <v>76.30933333333337</v>
      </c>
      <c r="R14">
        <v>100</v>
      </c>
      <c r="S14">
        <f t="shared" ref="S14" si="10">MIN(N14+O14,1)</f>
        <v>0.16723128151176878</v>
      </c>
      <c r="T14">
        <f t="shared" ref="T14" si="11">$B$8*L14*I14*(-1.3*C14/B14+1.8)*(1.35+0.35*TANH(1.2*D14-8.5))*($C$2+$D$2*J14+$E$2/M14+$F$2*(J14^2)+$G$2/(M14^2)+$H$2*J14/M14+$I$2*(J14^3))*S14</f>
        <v>3.4979287465513459E-2</v>
      </c>
    </row>
    <row r="15" spans="1:23" x14ac:dyDescent="0.3">
      <c r="A15" s="19">
        <v>8.7100000000000009</v>
      </c>
      <c r="B15" s="8">
        <f>STWAVE_Run_Matrix!$F$21</f>
        <v>28.4376</v>
      </c>
      <c r="C15" s="8">
        <f>STWAVE_Run_Matrix!$J$21</f>
        <v>2.3616000000000001</v>
      </c>
      <c r="D15">
        <f>STWAVE_Run_Matrix!$I$21</f>
        <v>4.0999999999999996</v>
      </c>
      <c r="E15" s="29">
        <f>STWAVE_Run_Matrix!$Q$21</f>
        <v>67.474285714285713</v>
      </c>
      <c r="F15" s="8">
        <f>STWAVE_Run_Matrix!$S$21</f>
        <v>1.6531199999999999</v>
      </c>
      <c r="G15" s="8">
        <f>A15-(B15-$B$11)</f>
        <v>-1.6775999999999982</v>
      </c>
      <c r="H15" s="8">
        <f t="shared" ref="H15" si="12">F15-G15</f>
        <v>3.3307199999999981</v>
      </c>
      <c r="I15" s="8">
        <f t="shared" ref="I15" si="13">IF(H15&lt;=0,0,IF(AND(H15&gt;0,H15&lt;=$B$3),H15/$B$3,IF(H15&gt;$B$3,1)))</f>
        <v>0.85954064516128981</v>
      </c>
      <c r="J15">
        <f t="shared" ref="J15" si="14">C15/E15</f>
        <v>3.5000000000000003E-2</v>
      </c>
      <c r="K15">
        <f t="shared" ref="K15" si="15">E15-E15*(G15+C15/2)/C15</f>
        <v>81.668571428571369</v>
      </c>
      <c r="L15">
        <f t="shared" ref="L15" si="16">IF(AND((K15/$B$5)&gt;0,(K15/$B$5)&lt;0.15),0.15*$B$5,IF(K15&gt;0,K15,0))</f>
        <v>81.668571428571369</v>
      </c>
      <c r="M15">
        <f t="shared" ref="M15" si="17">L15/E15</f>
        <v>1.2103658536585358</v>
      </c>
      <c r="N15">
        <f t="shared" ref="N15" si="18">0.0123-0.0045*EXP(-G15/F15)+0.0014*LN($B$5/E15)</f>
        <v>-3.346500997238799E-4</v>
      </c>
      <c r="O15">
        <f t="shared" ref="O15" si="19">EXP(-2.477+1.002*EXP(-G15/F15)-0.403*LN($B$5/E15))</f>
        <v>1.4199908502616005</v>
      </c>
      <c r="P15">
        <f t="shared" ref="P15" si="20">H15/$B$2</f>
        <v>1.1102399999999994</v>
      </c>
      <c r="Q15">
        <f t="shared" ref="Q15" si="21">IF(P15&lt;=1,100*(1-P15),0)</f>
        <v>0</v>
      </c>
      <c r="R15">
        <v>100</v>
      </c>
      <c r="S15">
        <f t="shared" ref="S15" si="22">MIN(N15+O15,1)</f>
        <v>1</v>
      </c>
      <c r="T15">
        <f t="shared" ref="T15" si="23">$B$8*L15*I15*(-1.3*C15/B15+1.8)*(1.35+0.35*TANH(1.2*D15-8.5))*($C$2+$D$2*J15+$E$2/M15+$F$2*(J15^2)+$G$2/(M15^2)+$H$2*J15/M15+$I$2*(J15^3))*S15</f>
        <v>6.7246738024100345</v>
      </c>
    </row>
    <row r="16" spans="1:23" x14ac:dyDescent="0.3">
      <c r="B16" s="21"/>
      <c r="H16" s="8"/>
      <c r="I16" s="8"/>
      <c r="J16" s="8"/>
    </row>
    <row r="17" spans="1:17" x14ac:dyDescent="0.3">
      <c r="A17" s="13" t="s">
        <v>79</v>
      </c>
      <c r="B17" s="13" t="s">
        <v>80</v>
      </c>
      <c r="C17" s="13" t="s">
        <v>81</v>
      </c>
      <c r="D17" s="13" t="s">
        <v>82</v>
      </c>
      <c r="E17" s="13" t="s">
        <v>83</v>
      </c>
      <c r="F17" s="13" t="s">
        <v>84</v>
      </c>
      <c r="G17" s="13" t="s">
        <v>85</v>
      </c>
      <c r="H17" s="13" t="s">
        <v>86</v>
      </c>
      <c r="I17" s="13" t="s">
        <v>87</v>
      </c>
    </row>
    <row r="18" spans="1:17" x14ac:dyDescent="0.3">
      <c r="A18" s="13">
        <v>-9.3799999999999994E-2</v>
      </c>
      <c r="B18" s="13">
        <v>1.6196999999999999</v>
      </c>
      <c r="C18" s="13">
        <v>-1.4792000000000001</v>
      </c>
      <c r="D18" s="13">
        <v>0.53669999999999995</v>
      </c>
      <c r="E18" s="13">
        <v>-8.77E-2</v>
      </c>
      <c r="F18" s="13">
        <v>5.4000000000000003E-3</v>
      </c>
      <c r="G18" s="13">
        <v>1.9E-2</v>
      </c>
      <c r="H18" s="13">
        <v>0.60440000000000005</v>
      </c>
      <c r="I18" s="13">
        <v>-0.28299999999999997</v>
      </c>
    </row>
    <row r="19" spans="1:17" ht="28.8" x14ac:dyDescent="0.3">
      <c r="A19" s="26" t="s">
        <v>115</v>
      </c>
      <c r="B19" t="s">
        <v>61</v>
      </c>
      <c r="C19" t="s">
        <v>29</v>
      </c>
      <c r="D19" t="s">
        <v>24</v>
      </c>
      <c r="E19" t="s">
        <v>60</v>
      </c>
      <c r="F19" t="s">
        <v>65</v>
      </c>
      <c r="G19" t="s">
        <v>62</v>
      </c>
      <c r="H19" t="s">
        <v>70</v>
      </c>
      <c r="I19" t="s">
        <v>66</v>
      </c>
      <c r="J19" t="s">
        <v>68</v>
      </c>
      <c r="K19" s="6" t="s">
        <v>88</v>
      </c>
      <c r="L19" t="s">
        <v>89</v>
      </c>
      <c r="M19" t="s">
        <v>90</v>
      </c>
      <c r="N19" s="6" t="s">
        <v>91</v>
      </c>
    </row>
    <row r="20" spans="1:17" x14ac:dyDescent="0.3">
      <c r="A20" s="19">
        <v>11.33</v>
      </c>
      <c r="B20">
        <f>STWAVE_Run_Matrix!$F$21</f>
        <v>28.4376</v>
      </c>
      <c r="C20">
        <f>STWAVE_Run_Matrix!$J$21</f>
        <v>2.3616000000000001</v>
      </c>
      <c r="D20">
        <f>STWAVE_Run_Matrix!$I$21</f>
        <v>4.0999999999999996</v>
      </c>
      <c r="E20">
        <f>STWAVE_Run_Matrix!$Q$21</f>
        <v>67.474285714285713</v>
      </c>
      <c r="F20">
        <f>STWAVE_Run_Matrix!$S$21</f>
        <v>1.6531199999999999</v>
      </c>
      <c r="G20" s="8">
        <f>A20-(B20-$B$11)</f>
        <v>0.94240000000000101</v>
      </c>
      <c r="H20" s="8">
        <f t="shared" ref="H20" si="24">F20-G20</f>
        <v>0.71071999999999891</v>
      </c>
      <c r="I20" s="8">
        <f t="shared" ref="I20" si="25">H20/($B$3+$B$4)</f>
        <v>0.10337745454545438</v>
      </c>
      <c r="J20">
        <f t="shared" ref="J20" si="26">C20/E20</f>
        <v>3.5000000000000003E-2</v>
      </c>
      <c r="K20">
        <f>$B$8*(C20^2)*($A$18+$B$18*I20+$C$18*(I20^2)+$D$18*(I20^3)+$E$18*(I20^4)+$F$18*(I20^5)+$G$18*LN(J20))*($H$18+$I$18*$B$5/E20)</f>
        <v>-6.8329020915301731E-4</v>
      </c>
      <c r="L20">
        <f t="shared" ref="L20" si="27">IF(AND((G20/F20)&gt;=0,(G20/F20)&lt;1),0.0149*G20/F20+0.0316,IF((G20/F20)&lt;0,(-1562.9+1594.5*EXP(-(G20/F20)))^(-1)))</f>
        <v>4.0094096012388711E-2</v>
      </c>
      <c r="M20">
        <f t="shared" ref="M20" si="28">0.6588*((G20/F20)^2)+0.5368*G20/F20-1.193</f>
        <v>-0.67288514624568763</v>
      </c>
      <c r="N20">
        <f t="shared" ref="N20" si="29">L20*$B$8*(C20^2)*((C20/E20)^M20)</f>
        <v>0.13656772260697062</v>
      </c>
    </row>
    <row r="21" spans="1:17" x14ac:dyDescent="0.3">
      <c r="A21" s="19">
        <v>8.7100000000000009</v>
      </c>
      <c r="B21">
        <f>STWAVE_Run_Matrix!$F$21</f>
        <v>28.4376</v>
      </c>
      <c r="C21">
        <f>STWAVE_Run_Matrix!$J$21</f>
        <v>2.3616000000000001</v>
      </c>
      <c r="D21">
        <f>STWAVE_Run_Matrix!$I$21</f>
        <v>4.0999999999999996</v>
      </c>
      <c r="E21">
        <f>STWAVE_Run_Matrix!$Q$21</f>
        <v>67.474285714285713</v>
      </c>
      <c r="F21">
        <f>STWAVE_Run_Matrix!$S$21</f>
        <v>1.6531199999999999</v>
      </c>
      <c r="G21" s="8">
        <f>A21-(B21-$B$11)</f>
        <v>-1.6775999999999982</v>
      </c>
      <c r="H21" s="8">
        <f t="shared" ref="H21" si="30">F21-G21</f>
        <v>3.3307199999999981</v>
      </c>
      <c r="I21" s="8">
        <f t="shared" ref="I21" si="31">H21/($B$3+$B$4)</f>
        <v>0.48446836363636336</v>
      </c>
      <c r="J21">
        <f t="shared" ref="J21" si="32">C21/E21</f>
        <v>3.5000000000000003E-2</v>
      </c>
      <c r="K21">
        <f>$B$8*(C21^2)*($A$18+$B$18*I21+$C$18*(I21^2)+$D$18*(I21^3)+$E$18*(I21^4)+$F$18*(I21^5)+$G$18*LN(J21))*($H$18+$I$18*$B$5/E21)</f>
        <v>4.352529076439228E-2</v>
      </c>
      <c r="L21">
        <f t="shared" ref="L21" si="33">IF(AND((G21/F21)&gt;=0,(G21/F21)&lt;1),0.0149*G21/F21+0.0316,IF((G21/F21)&lt;0,(-1562.9+1594.5*EXP(-(G21/F21)))^(-1)))</f>
        <v>3.5260161907348656E-4</v>
      </c>
      <c r="M21">
        <f t="shared" ref="M21" si="34">0.6588*((G21/F21)^2)+0.5368*G21/F21-1.193</f>
        <v>-1.0592931639937366</v>
      </c>
      <c r="N21">
        <f t="shared" ref="N21" si="35">L21*$B$8*(C21^2)*((C21/E21)^M21)</f>
        <v>4.386677673680498E-3</v>
      </c>
    </row>
    <row r="24" spans="1:17" x14ac:dyDescent="0.3">
      <c r="C24" t="s">
        <v>92</v>
      </c>
      <c r="D24" t="s">
        <v>93</v>
      </c>
      <c r="E24" t="s">
        <v>94</v>
      </c>
    </row>
    <row r="25" spans="1:17" x14ac:dyDescent="0.3">
      <c r="C25">
        <f>-0.0125*($B$3+$B$4)+0.926</f>
        <v>0.84006250000000005</v>
      </c>
      <c r="D25">
        <f>0.00659*($B$3+$B$4)-0.0924</f>
        <v>-4.7093749999999997E-2</v>
      </c>
      <c r="E25">
        <f>-0.000234*($B$3+$B$4)-0.0031</f>
        <v>-4.7087499999999994E-3</v>
      </c>
    </row>
    <row r="27" spans="1:17" ht="28.8" x14ac:dyDescent="0.3">
      <c r="A27" s="26" t="s">
        <v>115</v>
      </c>
      <c r="B27" t="s">
        <v>61</v>
      </c>
      <c r="C27" t="s">
        <v>29</v>
      </c>
      <c r="D27" t="s">
        <v>24</v>
      </c>
      <c r="E27" t="s">
        <v>60</v>
      </c>
      <c r="F27" t="s">
        <v>65</v>
      </c>
      <c r="G27" t="s">
        <v>62</v>
      </c>
      <c r="H27" s="6" t="s">
        <v>97</v>
      </c>
    </row>
    <row r="28" spans="1:17" x14ac:dyDescent="0.3">
      <c r="A28" s="19">
        <v>11.33</v>
      </c>
      <c r="B28">
        <f>STWAVE_Run_Matrix!$F$21</f>
        <v>28.4376</v>
      </c>
      <c r="C28">
        <f>STWAVE_Run_Matrix!$J$21</f>
        <v>2.3616000000000001</v>
      </c>
      <c r="D28">
        <f>STWAVE_Run_Matrix!$I$21</f>
        <v>4.0999999999999996</v>
      </c>
      <c r="E28">
        <f>STWAVE_Run_Matrix!$Q$21</f>
        <v>67.474285714285713</v>
      </c>
      <c r="F28">
        <f>STWAVE_Run_Matrix!$S$21</f>
        <v>1.6531199999999999</v>
      </c>
      <c r="G28" s="8">
        <f>A28-(B28-$B$11)</f>
        <v>0.94240000000000101</v>
      </c>
      <c r="H28" s="8">
        <f>(T14*$B$7+K20*($B$3+$B$4))*($C$25+$D$25*E28/$B$5+$E$25*E28/C28)+2*N20*$B$7/3</f>
        <v>6.5592095300189577</v>
      </c>
    </row>
    <row r="29" spans="1:17" x14ac:dyDescent="0.3">
      <c r="A29" s="19">
        <v>8.7100000000000009</v>
      </c>
      <c r="B29">
        <f>STWAVE_Run_Matrix!$F$21</f>
        <v>28.4376</v>
      </c>
      <c r="C29">
        <f>STWAVE_Run_Matrix!$J$21</f>
        <v>2.3616000000000001</v>
      </c>
      <c r="D29">
        <f>STWAVE_Run_Matrix!$I$21</f>
        <v>4.0999999999999996</v>
      </c>
      <c r="E29">
        <f>STWAVE_Run_Matrix!$Q$21</f>
        <v>67.474285714285713</v>
      </c>
      <c r="F29">
        <f>STWAVE_Run_Matrix!$S$21</f>
        <v>1.6531199999999999</v>
      </c>
      <c r="G29" s="8">
        <f>A29-(B29-$B$11)</f>
        <v>-1.6775999999999982</v>
      </c>
      <c r="H29" s="8">
        <f>(T15*$B$7+K21*($B$3+$B$4))*($C$25+$D$25*E29/$B$5+$E$25*E29/C29)+2*N21*$B$7/3</f>
        <v>252.59073044821187</v>
      </c>
    </row>
    <row r="32" spans="1:17" ht="28.8" x14ac:dyDescent="0.3">
      <c r="A32" s="26" t="s">
        <v>115</v>
      </c>
      <c r="B32" t="s">
        <v>61</v>
      </c>
      <c r="C32" t="s">
        <v>29</v>
      </c>
      <c r="D32" t="s">
        <v>24</v>
      </c>
      <c r="E32" t="s">
        <v>60</v>
      </c>
      <c r="F32" t="s">
        <v>65</v>
      </c>
      <c r="G32" t="s">
        <v>62</v>
      </c>
      <c r="H32" t="s">
        <v>98</v>
      </c>
      <c r="I32" t="s">
        <v>99</v>
      </c>
      <c r="J32" t="s">
        <v>101</v>
      </c>
      <c r="K32" s="6" t="s">
        <v>100</v>
      </c>
      <c r="L32" t="s">
        <v>102</v>
      </c>
      <c r="M32" t="s">
        <v>103</v>
      </c>
      <c r="N32" t="s">
        <v>104</v>
      </c>
      <c r="O32" s="6" t="s">
        <v>105</v>
      </c>
      <c r="P32" s="24" t="s">
        <v>107</v>
      </c>
      <c r="Q32" s="6" t="s">
        <v>106</v>
      </c>
    </row>
    <row r="33" spans="1:18" x14ac:dyDescent="0.3">
      <c r="A33" s="19">
        <v>11.33</v>
      </c>
      <c r="B33">
        <f>STWAVE_Run_Matrix!$F$21</f>
        <v>28.4376</v>
      </c>
      <c r="C33">
        <f>STWAVE_Run_Matrix!$J$21</f>
        <v>2.3616000000000001</v>
      </c>
      <c r="D33">
        <f>STWAVE_Run_Matrix!$I$21</f>
        <v>4.0999999999999996</v>
      </c>
      <c r="E33">
        <f>STWAVE_Run_Matrix!$Q$21</f>
        <v>67.474285714285713</v>
      </c>
      <c r="F33">
        <f>STWAVE_Run_Matrix!$S$21</f>
        <v>1.6531199999999999</v>
      </c>
      <c r="G33" s="8">
        <f>A33-(B33-$B$11)</f>
        <v>0.94240000000000101</v>
      </c>
      <c r="H33">
        <f t="shared" ref="H33" si="36">IF(E33-0.5*(G33+0.5*C33)*(E33/C33)&lt;$B$5,E33-0.5*(G33+0.5*C33)*(E33/C33),$B$5)</f>
        <v>37.142857142857125</v>
      </c>
      <c r="I33">
        <f t="shared" ref="I33" si="37">$B$8*PI()*($B$3+$B$4)*(H33+0.5*C33)*C33/E33</f>
        <v>1.854118723975887</v>
      </c>
      <c r="J33">
        <f t="shared" ref="J33" si="38">-3.18+3.76*EXP(-H33/E33)-0.95*((LN((F33-G33)/($B$3+$B$4)))^2)</f>
        <v>-5.9042284945202805</v>
      </c>
      <c r="K33">
        <f t="shared" ref="K33" si="39">I33*EXP(J33)</f>
        <v>5.0578236709356598E-3</v>
      </c>
      <c r="L33">
        <f t="shared" ref="L33" si="40">IF((1/2.6)*(E33-(G33+0.5*C33)*(E33/C33))&lt;$B$5,(1/2.6)*(E33-(G33+0.5*C33)*(E33/C33)),$B$5)</f>
        <v>2.6197802197802087</v>
      </c>
      <c r="M33">
        <f t="shared" ref="M33" si="41">$B$8*L33*(F33-G33)</f>
        <v>0.11916353265933997</v>
      </c>
      <c r="N33">
        <f t="shared" ref="N33" si="42">-0.3+2.04*EXP(-9.01*L33/E33)-0.16*(((F33-G33)/$B$3)^1.5)</f>
        <v>1.1252468787385705</v>
      </c>
      <c r="O33">
        <f>M33*EXP(N33)*S14</f>
        <v>6.1397317608889002E-2</v>
      </c>
      <c r="P33">
        <f>K33*($B$3+$B$4)+2*(O33+N20)*$B$5/3</f>
        <v>7.6454285282585079</v>
      </c>
      <c r="Q33">
        <f t="shared" ref="Q33" si="43">P33*1.37*TANH($B$3/(F33-G33))</f>
        <v>10.47385213001929</v>
      </c>
    </row>
    <row r="34" spans="1:18" x14ac:dyDescent="0.3">
      <c r="A34" s="19">
        <v>8.7100000000000009</v>
      </c>
      <c r="B34">
        <f>STWAVE_Run_Matrix!$F$21</f>
        <v>28.4376</v>
      </c>
      <c r="C34">
        <f>STWAVE_Run_Matrix!$J$21</f>
        <v>2.3616000000000001</v>
      </c>
      <c r="D34">
        <f>STWAVE_Run_Matrix!$I$21</f>
        <v>4.0999999999999996</v>
      </c>
      <c r="E34">
        <f>STWAVE_Run_Matrix!$Q$21</f>
        <v>67.474285714285713</v>
      </c>
      <c r="F34">
        <f>STWAVE_Run_Matrix!$S$21</f>
        <v>1.6531199999999999</v>
      </c>
      <c r="G34" s="8">
        <f>A34-(B34-$B$11)</f>
        <v>-1.6775999999999982</v>
      </c>
      <c r="H34">
        <f t="shared" ref="H34" si="44">IF(E34-0.5*(G34+0.5*C34)*(E34/C34)&lt;$B$5,E34-0.5*(G34+0.5*C34)*(E34/C34),$B$5)</f>
        <v>57.666666666666664</v>
      </c>
      <c r="I34">
        <f t="shared" ref="I34" si="45">$B$8*PI()*($B$3+$B$4)*(H34+0.5*C34)*C34/E34</f>
        <v>2.8470714420205021</v>
      </c>
      <c r="J34">
        <f t="shared" ref="J34" si="46">-3.18+3.76*EXP(-H34/E34)-0.95*((LN((F34-G34)/($B$3+$B$4)))^2)</f>
        <v>-2.0793048581710423</v>
      </c>
      <c r="K34">
        <f t="shared" ref="K34" si="47">I34*EXP(J34)</f>
        <v>0.35593257704140413</v>
      </c>
      <c r="L34">
        <f t="shared" ref="L34" si="48">IF((1/2.6)*(E34-(G34+0.5*C34)*(E34/C34))&lt;$B$5,(1/2.6)*(E34-(G34+0.5*C34)*(E34/C34)),$B$5)</f>
        <v>31.410989010988985</v>
      </c>
      <c r="M34">
        <f t="shared" ref="M34" si="49">$B$8*L34*(F34-G34)</f>
        <v>6.6957573963955959</v>
      </c>
      <c r="N34">
        <f t="shared" ref="N34" si="50">-0.3+2.04*EXP(-9.01*L34/E34)-0.16*(((F34-G34)/$B$3)^1.5)</f>
        <v>-0.39673948368324585</v>
      </c>
      <c r="O34">
        <f>M34*EXP(N34)*S15</f>
        <v>4.5029584663406235</v>
      </c>
      <c r="P34">
        <f>K34*($B$3+$B$4)+2*(O34+N21)*$B$5/3</f>
        <v>175.72941644815396</v>
      </c>
      <c r="Q34">
        <f t="shared" ref="Q34" si="51">P34*1.37*TANH($B$3/(F34-G34))</f>
        <v>197.93173811316097</v>
      </c>
    </row>
    <row r="35" spans="1:18" x14ac:dyDescent="0.3">
      <c r="B35" s="19"/>
      <c r="H35" s="8"/>
    </row>
    <row r="36" spans="1:18" x14ac:dyDescent="0.3">
      <c r="C36" s="43" t="s">
        <v>110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</row>
    <row r="38" spans="1:18" ht="134.4" customHeight="1" x14ac:dyDescent="0.3">
      <c r="B38" s="26" t="s">
        <v>115</v>
      </c>
      <c r="C38" t="s">
        <v>61</v>
      </c>
      <c r="D38" t="s">
        <v>29</v>
      </c>
      <c r="E38" t="s">
        <v>24</v>
      </c>
      <c r="F38" t="s">
        <v>60</v>
      </c>
      <c r="G38" t="s">
        <v>65</v>
      </c>
      <c r="H38" t="s">
        <v>62</v>
      </c>
      <c r="I38" t="s">
        <v>111</v>
      </c>
      <c r="J38" s="17" t="s">
        <v>112</v>
      </c>
      <c r="K38" t="s">
        <v>113</v>
      </c>
    </row>
    <row r="39" spans="1:18" ht="49.8" customHeight="1" x14ac:dyDescent="0.3">
      <c r="B39" s="19">
        <v>8.7100000000000009</v>
      </c>
      <c r="C39">
        <f>STWAVE_Run_Matrix!$F$21</f>
        <v>28.4376</v>
      </c>
      <c r="D39">
        <f>STWAVE_Run_Matrix!$J$21</f>
        <v>2.3616000000000001</v>
      </c>
      <c r="E39">
        <f>STWAVE_Run_Matrix!$I$21</f>
        <v>4.0999999999999996</v>
      </c>
      <c r="F39">
        <f>STWAVE_Run_Matrix!$Q$21</f>
        <v>67.474285714285713</v>
      </c>
      <c r="G39">
        <f>STWAVE_Run_Matrix!$S$21</f>
        <v>1.6531199999999999</v>
      </c>
      <c r="H39" s="8">
        <f>$B$12-(C39-$B$11)</f>
        <v>-1.6775999999999982</v>
      </c>
      <c r="I39" s="8">
        <f>G39-H39</f>
        <v>3.3307199999999981</v>
      </c>
      <c r="J39">
        <v>1.73</v>
      </c>
      <c r="K39">
        <f>0.5*$B$10*$B$9*I39*J39^2/1000</f>
        <v>2.4921279719999988E-2</v>
      </c>
    </row>
  </sheetData>
  <mergeCells count="1">
    <mergeCell ref="C36:R3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STWAVE_Run_Matrix</vt:lpstr>
      <vt:lpstr>WaveCurrentGirderAndAbove</vt:lpstr>
      <vt:lpstr>WaveCurrentGirderAndAbove_Repor</vt:lpstr>
    </vt:vector>
  </TitlesOfParts>
  <Company>Michael Baker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Narayanaswamy, Muthukumar</cp:lastModifiedBy>
  <dcterms:created xsi:type="dcterms:W3CDTF">2017-08-14T19:51:37Z</dcterms:created>
  <dcterms:modified xsi:type="dcterms:W3CDTF">2018-10-02T19:05:07Z</dcterms:modified>
</cp:coreProperties>
</file>